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PSAAP.PTE\Documents\Egyéb dokumentumok 2025\8 - ÁOK-GYTK 2025 közös dokumentumok\ÁOK-GYTK mintadokumentumok 2025\"/>
    </mc:Choice>
  </mc:AlternateContent>
  <xr:revisionPtr revIDLastSave="0" documentId="13_ncr:1_{075A3E5D-61C2-41E2-B8AA-7C6A75F2A5B5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Díjak és etapok" sheetId="6" r:id="rId1"/>
    <sheet name="Tantárgyi törzsadatok" sheetId="7" r:id="rId2"/>
    <sheet name="1. etap MF-M" sheetId="35" r:id="rId3"/>
    <sheet name="2. etap MF-M" sheetId="29" r:id="rId4"/>
    <sheet name="Kísérőjegyzék MF M " sheetId="15" r:id="rId5"/>
    <sheet name="Útmutató-órajelentés" sheetId="16" r:id="rId6"/>
    <sheet name="vizsgajelentés" sheetId="31" r:id="rId7"/>
    <sheet name="Útmutató-vizsgajelentés" sheetId="34" r:id="rId8"/>
  </sheets>
  <definedNames>
    <definedName name="_xlnm.Print_Area" localSheetId="1">'Tantárgyi törzsadatok'!$A$1:$J$61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29" l="1"/>
  <c r="E52" i="29"/>
  <c r="D52" i="29"/>
  <c r="J51" i="29"/>
  <c r="H51" i="29"/>
  <c r="J50" i="29"/>
  <c r="H50" i="29"/>
  <c r="J49" i="29"/>
  <c r="H49" i="29"/>
  <c r="J48" i="29"/>
  <c r="H48" i="29"/>
  <c r="J47" i="29"/>
  <c r="H47" i="29"/>
  <c r="J46" i="29"/>
  <c r="H46" i="29"/>
  <c r="B78" i="35"/>
  <c r="B85" i="29"/>
  <c r="C51" i="15" l="1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H17" i="7"/>
  <c r="J17" i="7" s="1"/>
  <c r="H18" i="7"/>
  <c r="J18" i="7" s="1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16" i="7"/>
  <c r="J16" i="7" s="1"/>
  <c r="G16" i="7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C19" i="15"/>
  <c r="D19" i="15"/>
  <c r="I18" i="7" l="1"/>
  <c r="I17" i="7"/>
  <c r="I16" i="7"/>
  <c r="J65" i="35"/>
  <c r="H65" i="35"/>
  <c r="J64" i="35"/>
  <c r="H64" i="35"/>
  <c r="J63" i="35"/>
  <c r="H63" i="35"/>
  <c r="J62" i="35"/>
  <c r="H62" i="35"/>
  <c r="J61" i="35"/>
  <c r="H61" i="35"/>
  <c r="J60" i="35"/>
  <c r="H60" i="35"/>
  <c r="J58" i="35"/>
  <c r="H58" i="35"/>
  <c r="J57" i="35"/>
  <c r="H57" i="35"/>
  <c r="J56" i="35"/>
  <c r="H56" i="35"/>
  <c r="J55" i="35"/>
  <c r="H55" i="35"/>
  <c r="J54" i="35"/>
  <c r="H54" i="35"/>
  <c r="J53" i="35"/>
  <c r="H53" i="35"/>
  <c r="J51" i="35"/>
  <c r="H51" i="35"/>
  <c r="J50" i="35"/>
  <c r="H50" i="35"/>
  <c r="J49" i="35"/>
  <c r="H49" i="35"/>
  <c r="J48" i="35"/>
  <c r="H48" i="35"/>
  <c r="J47" i="35"/>
  <c r="H47" i="35"/>
  <c r="J46" i="35"/>
  <c r="H46" i="35"/>
  <c r="J44" i="35"/>
  <c r="H44" i="35"/>
  <c r="J43" i="35"/>
  <c r="H43" i="35"/>
  <c r="J42" i="35"/>
  <c r="H42" i="35"/>
  <c r="J41" i="35"/>
  <c r="H41" i="35"/>
  <c r="J40" i="35"/>
  <c r="H40" i="35"/>
  <c r="J39" i="35"/>
  <c r="H39" i="35"/>
  <c r="J37" i="35"/>
  <c r="H37" i="35"/>
  <c r="J36" i="35"/>
  <c r="H36" i="35"/>
  <c r="J35" i="35"/>
  <c r="H35" i="35"/>
  <c r="J34" i="35"/>
  <c r="H34" i="35"/>
  <c r="J33" i="35"/>
  <c r="H33" i="35"/>
  <c r="J32" i="35"/>
  <c r="H32" i="35"/>
  <c r="J30" i="35"/>
  <c r="H30" i="35"/>
  <c r="J29" i="35"/>
  <c r="H29" i="35"/>
  <c r="J28" i="35"/>
  <c r="H28" i="35"/>
  <c r="J27" i="35"/>
  <c r="H27" i="35"/>
  <c r="J26" i="35"/>
  <c r="H26" i="35"/>
  <c r="J25" i="35"/>
  <c r="H25" i="35"/>
  <c r="J23" i="35"/>
  <c r="H23" i="35"/>
  <c r="J22" i="35"/>
  <c r="H22" i="35"/>
  <c r="J21" i="35"/>
  <c r="H21" i="35"/>
  <c r="J20" i="35"/>
  <c r="H20" i="35"/>
  <c r="J19" i="35"/>
  <c r="H19" i="35"/>
  <c r="J18" i="35"/>
  <c r="H18" i="35"/>
  <c r="F25" i="6" l="1"/>
  <c r="C22" i="6"/>
  <c r="F82" i="35"/>
  <c r="C82" i="35"/>
  <c r="F68" i="35"/>
  <c r="E68" i="35"/>
  <c r="D68" i="35"/>
  <c r="G67" i="35"/>
  <c r="F66" i="35"/>
  <c r="E66" i="35"/>
  <c r="D66" i="35"/>
  <c r="F59" i="35"/>
  <c r="E59" i="35"/>
  <c r="D59" i="35"/>
  <c r="F52" i="35"/>
  <c r="E52" i="35"/>
  <c r="D52" i="35"/>
  <c r="F45" i="35"/>
  <c r="E45" i="35"/>
  <c r="D45" i="35"/>
  <c r="F38" i="35"/>
  <c r="E38" i="35"/>
  <c r="D38" i="35"/>
  <c r="F31" i="35"/>
  <c r="E31" i="35"/>
  <c r="D31" i="35"/>
  <c r="F24" i="35"/>
  <c r="E24" i="35"/>
  <c r="D24" i="35"/>
  <c r="G15" i="35"/>
  <c r="D15" i="35"/>
  <c r="D14" i="35"/>
  <c r="D13" i="35"/>
  <c r="D11" i="35"/>
  <c r="L10" i="35"/>
  <c r="J15" i="35" s="1"/>
  <c r="J10" i="35"/>
  <c r="C18" i="35" s="1"/>
  <c r="C19" i="35" s="1"/>
  <c r="C20" i="35" s="1"/>
  <c r="C21" i="35" s="1"/>
  <c r="C22" i="35" s="1"/>
  <c r="D10" i="35"/>
  <c r="D9" i="35"/>
  <c r="D8" i="35"/>
  <c r="D7" i="35"/>
  <c r="D6" i="35"/>
  <c r="D5" i="35"/>
  <c r="L1" i="35"/>
  <c r="A1" i="35"/>
  <c r="F24" i="29"/>
  <c r="E24" i="29"/>
  <c r="D24" i="29"/>
  <c r="F31" i="29"/>
  <c r="E31" i="29"/>
  <c r="D31" i="29"/>
  <c r="F38" i="29"/>
  <c r="E38" i="29"/>
  <c r="D38" i="29"/>
  <c r="F45" i="29"/>
  <c r="E45" i="29"/>
  <c r="D45" i="29"/>
  <c r="F59" i="29"/>
  <c r="E59" i="29"/>
  <c r="D59" i="29"/>
  <c r="F66" i="29"/>
  <c r="E66" i="29"/>
  <c r="D66" i="29"/>
  <c r="F73" i="29"/>
  <c r="E73" i="29"/>
  <c r="D73" i="29"/>
  <c r="H6" i="15"/>
  <c r="A1" i="16"/>
  <c r="G15" i="16" s="1"/>
  <c r="D5" i="6"/>
  <c r="F24" i="6"/>
  <c r="J82" i="35" s="1"/>
  <c r="H1" i="34"/>
  <c r="A1" i="34"/>
  <c r="G15" i="34" s="1"/>
  <c r="I1" i="31"/>
  <c r="A1" i="31"/>
  <c r="H1" i="16"/>
  <c r="H1" i="15"/>
  <c r="A1" i="15"/>
  <c r="L1" i="29"/>
  <c r="A1" i="29"/>
  <c r="J1" i="7"/>
  <c r="B1" i="7"/>
  <c r="H27" i="31"/>
  <c r="J27" i="31" s="1"/>
  <c r="G27" i="31"/>
  <c r="C27" i="31"/>
  <c r="B27" i="31"/>
  <c r="H26" i="31"/>
  <c r="G26" i="31"/>
  <c r="C26" i="31"/>
  <c r="B26" i="31"/>
  <c r="H25" i="31"/>
  <c r="G25" i="31"/>
  <c r="C25" i="31"/>
  <c r="B25" i="31"/>
  <c r="H24" i="31"/>
  <c r="J24" i="31" s="1"/>
  <c r="G24" i="31"/>
  <c r="C24" i="31"/>
  <c r="B24" i="31"/>
  <c r="H23" i="31"/>
  <c r="G23" i="31"/>
  <c r="C23" i="31"/>
  <c r="B23" i="31"/>
  <c r="C16" i="31"/>
  <c r="G74" i="29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B16" i="31"/>
  <c r="H12" i="31"/>
  <c r="C6" i="31"/>
  <c r="C12" i="31"/>
  <c r="F10" i="31"/>
  <c r="C10" i="31"/>
  <c r="D4" i="31"/>
  <c r="E36" i="31"/>
  <c r="D36" i="31"/>
  <c r="C38" i="31" s="1"/>
  <c r="H35" i="31"/>
  <c r="G35" i="31"/>
  <c r="H34" i="31"/>
  <c r="J34" i="31" s="1"/>
  <c r="G34" i="31"/>
  <c r="H33" i="31"/>
  <c r="G33" i="31"/>
  <c r="H32" i="31"/>
  <c r="G32" i="31"/>
  <c r="J32" i="31"/>
  <c r="H31" i="31"/>
  <c r="G31" i="31"/>
  <c r="J31" i="31" s="1"/>
  <c r="H30" i="31"/>
  <c r="G30" i="31"/>
  <c r="J30" i="31"/>
  <c r="H29" i="31"/>
  <c r="G29" i="31"/>
  <c r="H28" i="31"/>
  <c r="G28" i="31"/>
  <c r="J28" i="31" s="1"/>
  <c r="H22" i="31"/>
  <c r="G22" i="31"/>
  <c r="G36" i="31" s="1"/>
  <c r="H21" i="31"/>
  <c r="G21" i="31"/>
  <c r="J21" i="31" s="1"/>
  <c r="H20" i="31"/>
  <c r="G20" i="31"/>
  <c r="H19" i="31"/>
  <c r="J19" i="31" s="1"/>
  <c r="G19" i="31"/>
  <c r="H18" i="31"/>
  <c r="G18" i="31"/>
  <c r="H17" i="31"/>
  <c r="G17" i="31"/>
  <c r="J17" i="31" s="1"/>
  <c r="H16" i="31"/>
  <c r="H36" i="31" s="1"/>
  <c r="G16" i="31"/>
  <c r="F89" i="29"/>
  <c r="C89" i="29"/>
  <c r="F75" i="29"/>
  <c r="E75" i="29"/>
  <c r="D75" i="29"/>
  <c r="G15" i="29"/>
  <c r="D15" i="29"/>
  <c r="D14" i="29"/>
  <c r="D13" i="29"/>
  <c r="D11" i="29"/>
  <c r="L10" i="29"/>
  <c r="J15" i="29" s="1"/>
  <c r="J10" i="29"/>
  <c r="C18" i="29" s="1"/>
  <c r="C19" i="29" s="1"/>
  <c r="C20" i="29" s="1"/>
  <c r="C21" i="29" s="1"/>
  <c r="C22" i="29" s="1"/>
  <c r="D10" i="29"/>
  <c r="D9" i="29"/>
  <c r="D8" i="29"/>
  <c r="D7" i="29"/>
  <c r="D6" i="29"/>
  <c r="D5" i="29"/>
  <c r="A3" i="7"/>
  <c r="A3" i="29" s="1"/>
  <c r="F6" i="15"/>
  <c r="G23" i="15"/>
  <c r="G24" i="15"/>
  <c r="G25" i="15"/>
  <c r="G26" i="15"/>
  <c r="G27" i="15"/>
  <c r="G28" i="15"/>
  <c r="G29" i="15"/>
  <c r="E6" i="15"/>
  <c r="C6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G19" i="15"/>
  <c r="G20" i="15"/>
  <c r="B8" i="15"/>
  <c r="C8" i="15"/>
  <c r="B9" i="15"/>
  <c r="C9" i="15"/>
  <c r="B10" i="15"/>
  <c r="C10" i="15"/>
  <c r="B11" i="15"/>
  <c r="C11" i="15"/>
  <c r="B12" i="15"/>
  <c r="C12" i="15"/>
  <c r="B47" i="15" s="1"/>
  <c r="B13" i="15"/>
  <c r="C13" i="15"/>
  <c r="B14" i="15"/>
  <c r="C14" i="15"/>
  <c r="E47" i="15" s="1"/>
  <c r="B19" i="15"/>
  <c r="G21" i="15"/>
  <c r="G22" i="15"/>
  <c r="G30" i="15"/>
  <c r="G31" i="15"/>
  <c r="G32" i="15"/>
  <c r="C33" i="15"/>
  <c r="G33" i="15"/>
  <c r="B34" i="15"/>
  <c r="C34" i="15"/>
  <c r="D34" i="15"/>
  <c r="G34" i="15"/>
  <c r="B35" i="15"/>
  <c r="C35" i="15"/>
  <c r="D35" i="15"/>
  <c r="G35" i="15"/>
  <c r="B36" i="15"/>
  <c r="C36" i="15"/>
  <c r="D36" i="15"/>
  <c r="G36" i="15"/>
  <c r="B37" i="15"/>
  <c r="C37" i="15"/>
  <c r="D37" i="15"/>
  <c r="G37" i="15"/>
  <c r="B38" i="15"/>
  <c r="C38" i="15"/>
  <c r="D38" i="15"/>
  <c r="G38" i="15"/>
  <c r="J18" i="31"/>
  <c r="J20" i="31"/>
  <c r="J29" i="31"/>
  <c r="J33" i="31"/>
  <c r="J35" i="31"/>
  <c r="J16" i="31"/>
  <c r="J22" i="31"/>
  <c r="J23" i="31"/>
  <c r="J25" i="31"/>
  <c r="J26" i="31"/>
  <c r="A3" i="35"/>
  <c r="J18" i="29" l="1"/>
  <c r="H68" i="29"/>
  <c r="H61" i="29"/>
  <c r="H54" i="29"/>
  <c r="H40" i="29"/>
  <c r="H33" i="29"/>
  <c r="H26" i="29"/>
  <c r="J55" i="29"/>
  <c r="J27" i="29"/>
  <c r="J54" i="29"/>
  <c r="J67" i="29"/>
  <c r="J60" i="29"/>
  <c r="J53" i="29"/>
  <c r="J39" i="29"/>
  <c r="J32" i="29"/>
  <c r="J25" i="29"/>
  <c r="J41" i="29"/>
  <c r="H67" i="29"/>
  <c r="H60" i="29"/>
  <c r="H53" i="29"/>
  <c r="H39" i="29"/>
  <c r="H32" i="29"/>
  <c r="H25" i="29"/>
  <c r="J26" i="29"/>
  <c r="J72" i="29"/>
  <c r="J65" i="29"/>
  <c r="J58" i="29"/>
  <c r="J44" i="29"/>
  <c r="J37" i="29"/>
  <c r="J30" i="29"/>
  <c r="J23" i="29"/>
  <c r="J69" i="29"/>
  <c r="H72" i="29"/>
  <c r="H65" i="29"/>
  <c r="H58" i="29"/>
  <c r="H44" i="29"/>
  <c r="H37" i="29"/>
  <c r="H30" i="29"/>
  <c r="H23" i="29"/>
  <c r="J62" i="29"/>
  <c r="H21" i="29"/>
  <c r="J61" i="29"/>
  <c r="J71" i="29"/>
  <c r="J64" i="29"/>
  <c r="J57" i="29"/>
  <c r="J43" i="29"/>
  <c r="J36" i="29"/>
  <c r="J29" i="29"/>
  <c r="H22" i="29"/>
  <c r="J33" i="29"/>
  <c r="H71" i="29"/>
  <c r="H64" i="29"/>
  <c r="H57" i="29"/>
  <c r="H43" i="29"/>
  <c r="H36" i="29"/>
  <c r="H29" i="29"/>
  <c r="H18" i="29"/>
  <c r="J70" i="29"/>
  <c r="J63" i="29"/>
  <c r="J56" i="29"/>
  <c r="J42" i="29"/>
  <c r="J35" i="29"/>
  <c r="J28" i="29"/>
  <c r="H19" i="29"/>
  <c r="H70" i="29"/>
  <c r="H63" i="29"/>
  <c r="H56" i="29"/>
  <c r="H42" i="29"/>
  <c r="H35" i="29"/>
  <c r="H28" i="29"/>
  <c r="H20" i="29"/>
  <c r="J34" i="29"/>
  <c r="H69" i="29"/>
  <c r="H62" i="29"/>
  <c r="H55" i="29"/>
  <c r="H41" i="29"/>
  <c r="H34" i="29"/>
  <c r="H27" i="29"/>
  <c r="J68" i="29"/>
  <c r="J40" i="29"/>
  <c r="F67" i="35"/>
  <c r="F69" i="35" s="1"/>
  <c r="E67" i="35"/>
  <c r="E69" i="35" s="1"/>
  <c r="D67" i="35"/>
  <c r="D69" i="35" s="1"/>
  <c r="E74" i="29"/>
  <c r="E76" i="29" s="1"/>
  <c r="F74" i="29"/>
  <c r="F76" i="29" s="1"/>
  <c r="D74" i="29"/>
  <c r="D76" i="29" s="1"/>
  <c r="J19" i="29"/>
  <c r="J20" i="29"/>
  <c r="B4" i="15"/>
  <c r="J89" i="29"/>
  <c r="C23" i="29"/>
  <c r="C25" i="29"/>
  <c r="J36" i="31"/>
  <c r="C23" i="35"/>
  <c r="C25" i="35"/>
  <c r="C26" i="35" s="1"/>
  <c r="C27" i="35" s="1"/>
  <c r="C28" i="35" s="1"/>
  <c r="C29" i="35" s="1"/>
  <c r="J21" i="29"/>
  <c r="J22" i="29"/>
  <c r="C26" i="29" l="1"/>
  <c r="C27" i="29" s="1"/>
  <c r="C28" i="29" s="1"/>
  <c r="C29" i="29" s="1"/>
  <c r="F70" i="35"/>
  <c r="E76" i="35" s="1"/>
  <c r="F77" i="29"/>
  <c r="E83" i="29" s="1"/>
  <c r="C32" i="35"/>
  <c r="C33" i="35" s="1"/>
  <c r="C34" i="35" s="1"/>
  <c r="C35" i="35" s="1"/>
  <c r="C36" i="35" s="1"/>
  <c r="C30" i="35"/>
  <c r="C32" i="29" l="1"/>
  <c r="C33" i="29" s="1"/>
  <c r="C34" i="29" s="1"/>
  <c r="C35" i="29" s="1"/>
  <c r="C36" i="29" s="1"/>
  <c r="C37" i="29" s="1"/>
  <c r="C30" i="29"/>
  <c r="C39" i="35"/>
  <c r="C40" i="35" s="1"/>
  <c r="C41" i="35" s="1"/>
  <c r="C42" i="35" s="1"/>
  <c r="C43" i="35" s="1"/>
  <c r="C37" i="35"/>
  <c r="C39" i="29" l="1"/>
  <c r="C40" i="29" s="1"/>
  <c r="C41" i="29" s="1"/>
  <c r="C42" i="29" s="1"/>
  <c r="C43" i="29" s="1"/>
  <c r="C44" i="35"/>
  <c r="C46" i="35"/>
  <c r="C47" i="35" s="1"/>
  <c r="C48" i="35" s="1"/>
  <c r="C49" i="35" s="1"/>
  <c r="C50" i="35" s="1"/>
  <c r="C44" i="29"/>
  <c r="C46" i="29" l="1"/>
  <c r="C47" i="29" s="1"/>
  <c r="C48" i="29" s="1"/>
  <c r="C49" i="29" s="1"/>
  <c r="C50" i="29" s="1"/>
  <c r="C53" i="35"/>
  <c r="C54" i="35" s="1"/>
  <c r="C55" i="35" s="1"/>
  <c r="C56" i="35" s="1"/>
  <c r="C57" i="35" s="1"/>
  <c r="C51" i="35"/>
  <c r="C51" i="29" l="1"/>
  <c r="C53" i="29"/>
  <c r="C54" i="29" s="1"/>
  <c r="C55" i="29" s="1"/>
  <c r="C56" i="29" s="1"/>
  <c r="C57" i="29" s="1"/>
  <c r="C60" i="35"/>
  <c r="C61" i="35" s="1"/>
  <c r="C62" i="35" s="1"/>
  <c r="C63" i="35" s="1"/>
  <c r="C64" i="35" s="1"/>
  <c r="C65" i="35" s="1"/>
  <c r="C58" i="35"/>
  <c r="C60" i="29" l="1"/>
  <c r="C61" i="29" s="1"/>
  <c r="C62" i="29" s="1"/>
  <c r="C63" i="29" s="1"/>
  <c r="C64" i="29" s="1"/>
  <c r="C58" i="29"/>
  <c r="C67" i="29" l="1"/>
  <c r="C68" i="29" s="1"/>
  <c r="C69" i="29" s="1"/>
  <c r="C70" i="29" s="1"/>
  <c r="C71" i="29" s="1"/>
  <c r="C72" i="29" s="1"/>
  <c r="C65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peter.porvay</author>
  </authors>
  <commentList>
    <comment ref="C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A legördülő listából válassza ki a szerződésben érintett kar megnevezését. 
(A további munkalapokon ezt követően a kiválasztott kar neve automatikusan megjelenik).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peter.porvay</author>
  </authors>
  <commentList>
    <comment ref="A13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Az óraadó megbízott sorszámát kell beírni a "Tantárgyi törzsadatok" nevű munkalapról
A sorszám után ne tegyen pontot!</t>
        </r>
      </text>
    </comment>
    <comment ref="C78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Javasolt formátum:
hh.nn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peter.porvay</author>
  </authors>
  <commentList>
    <comment ref="A13" authorId="0" shapeId="0" xr:uid="{00000000-0006-0000-0300-000001000000}">
      <text>
        <r>
          <rPr>
            <sz val="8"/>
            <color indexed="81"/>
            <rFont val="Tahoma"/>
            <family val="2"/>
            <charset val="238"/>
          </rPr>
          <t>Az óraadó megbízott sorszámát kell beírni a "Tantárgyi törzsadatok" nevű munkalapról
A sorszám után ne tegyen pontot!</t>
        </r>
      </text>
    </comment>
    <comment ref="C85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Javasolt formátum:
hh.nn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peter.porvay</author>
  </authors>
  <commentList>
    <comment ref="A6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>Írja be az időszak sorszámát!
A szám után ne tegyen pontot!</t>
        </r>
      </text>
    </comment>
    <comment ref="A18" authorId="0" shapeId="0" xr:uid="{00000000-0006-0000-0400-000002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"</t>
        </r>
        <r>
          <rPr>
            <b/>
            <i/>
            <sz val="8"/>
            <color indexed="81"/>
            <rFont val="Tahoma"/>
            <family val="2"/>
            <charset val="238"/>
          </rPr>
          <t xml:space="preserve">emelkedő számsorrendben" </t>
        </r>
        <r>
          <rPr>
            <sz val="8"/>
            <color indexed="81"/>
            <rFont val="Tahoma"/>
            <family val="2"/>
            <charset val="238"/>
          </rPr>
          <t>a "Tantárgyi törzsadatok" munkalapról!
A szám után ne tegyen pontot!</t>
        </r>
      </text>
    </comment>
    <comment ref="A19" authorId="0" shapeId="0" xr:uid="{00000000-0006-0000-0400-000003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0" authorId="0" shapeId="0" xr:uid="{00000000-0006-0000-0400-000004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1" authorId="0" shapeId="0" xr:uid="{00000000-0006-0000-0400-000005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2" authorId="0" shapeId="0" xr:uid="{00000000-0006-0000-0400-000006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3" authorId="0" shapeId="0" xr:uid="{00000000-0006-0000-0400-000007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4" authorId="0" shapeId="0" xr:uid="{00000000-0006-0000-0400-000008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5" authorId="0" shapeId="0" xr:uid="{00000000-0006-0000-0400-000009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6" authorId="0" shapeId="0" xr:uid="{00000000-0006-0000-0400-00000A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7" authorId="0" shapeId="0" xr:uid="{00000000-0006-0000-0400-00000B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8" authorId="0" shapeId="0" xr:uid="{00000000-0006-0000-0400-00000C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29" authorId="0" shapeId="0" xr:uid="{00000000-0006-0000-0400-00000D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30" authorId="0" shapeId="0" xr:uid="{00000000-0006-0000-0400-00000E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31" authorId="0" shapeId="0" xr:uid="{00000000-0006-0000-0400-00000F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32" authorId="0" shapeId="0" xr:uid="{00000000-0006-0000-0400-000010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33" authorId="0" shapeId="0" xr:uid="{00000000-0006-0000-0400-000011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34" authorId="0" shapeId="0" xr:uid="{00000000-0006-0000-0400-000012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35" authorId="0" shapeId="0" xr:uid="{00000000-0006-0000-0400-000013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36" authorId="0" shapeId="0" xr:uid="{00000000-0006-0000-0400-000014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37" authorId="0" shapeId="0" xr:uid="{00000000-0006-0000-0400-000015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A38" authorId="0" shapeId="0" xr:uid="{00000000-0006-0000-0400-000016000000}">
      <text>
        <r>
          <rPr>
            <sz val="8"/>
            <color indexed="81"/>
            <rFont val="Tahoma"/>
            <family val="2"/>
            <charset val="238"/>
          </rPr>
          <t>Írja be az óraadó megbízott sorszámát a "Tantárgyi törzsadatok" munkalapról!
A szám után ne tegyen pontot!</t>
        </r>
      </text>
    </comment>
    <comment ref="B43" authorId="0" shapeId="0" xr:uid="{00000000-0006-0000-0400-000017000000}">
      <text>
        <r>
          <rPr>
            <b/>
            <sz val="9"/>
            <color indexed="81"/>
            <rFont val="Tahoma"/>
            <family val="2"/>
            <charset val="238"/>
          </rPr>
          <t>Javasolt formátum:
éééé.hh.nn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Porvay Péter</author>
    <author>peter.porvay</author>
  </authors>
  <commentList>
    <comment ref="A14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 a "tantárgyi törzsadatok" munkalapról,  </t>
        </r>
        <r>
          <rPr>
            <b/>
            <sz val="9"/>
            <color indexed="81"/>
            <rFont val="Tahoma"/>
            <family val="2"/>
            <charset val="238"/>
          </rPr>
          <t>"emelkedő számsorrendben"</t>
        </r>
        <r>
          <rPr>
            <sz val="9"/>
            <color indexed="81"/>
            <rFont val="Tahoma"/>
            <family val="2"/>
            <charset val="238"/>
          </rPr>
          <t xml:space="preserve">, sorkihagyás nélkül írja be!
</t>
        </r>
      </text>
    </comment>
    <comment ref="A15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16" authorId="0" shapeId="0" xr:uid="{00000000-0006-0000-0600-000003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17" authorId="0" shapeId="0" xr:uid="{00000000-0006-0000-0600-000004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18" authorId="0" shapeId="0" xr:uid="{00000000-0006-0000-0600-000005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19" authorId="0" shapeId="0" xr:uid="{00000000-0006-0000-0600-000006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0" authorId="0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1" authorId="0" shapeId="0" xr:uid="{00000000-0006-0000-0600-000008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2" authorId="0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3" authorId="0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4" authorId="0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5" authorId="0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6" authorId="0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7" authorId="0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8" authorId="0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29" authorId="0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30" authorId="0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31" authorId="0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32" authorId="0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33" authorId="0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34" authorId="0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A35" authorId="0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 xml:space="preserve">A vizsgáztatásban résztvett oktatók sorszámáta "tantárgyi törzsadatok" munkalapról,  "emelkedő számsorrendben", sorkihagyás nélkül írja be!
</t>
        </r>
      </text>
    </comment>
    <comment ref="C41" authorId="1" shapeId="0" xr:uid="{00000000-0006-0000-0600-000017000000}">
      <text>
        <r>
          <rPr>
            <b/>
            <sz val="9"/>
            <color indexed="81"/>
            <rFont val="Tahoma"/>
            <family val="2"/>
            <charset val="238"/>
          </rPr>
          <t>Javasolt formátum:
éééé.hh.nn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<sst xmlns="http://schemas.openxmlformats.org/spreadsheetml/2006/main" count="259" uniqueCount="167">
  <si>
    <t>Telefon</t>
  </si>
  <si>
    <t>Mindösszesen:</t>
  </si>
  <si>
    <t>Az adatfeldolgozó munkatárs neve:</t>
  </si>
  <si>
    <t>Az adatfeldolgozás időpontja:</t>
  </si>
  <si>
    <t>Aláírás:</t>
  </si>
  <si>
    <t>Megnevezés</t>
  </si>
  <si>
    <t>hét összesen</t>
  </si>
  <si>
    <t>Dátum</t>
  </si>
  <si>
    <t>Oktató neve</t>
  </si>
  <si>
    <t>Sorszám</t>
  </si>
  <si>
    <t>Oktatás nyelve:</t>
  </si>
  <si>
    <t>Oktató státusza</t>
  </si>
  <si>
    <t>Szerződés típusa</t>
  </si>
  <si>
    <t>Tantárgyfelelős neve:</t>
  </si>
  <si>
    <t>Tantárgy megnevezése:</t>
  </si>
  <si>
    <t>Oktatást végző intézet/klinika:</t>
  </si>
  <si>
    <t>Szerződés típusa:</t>
  </si>
  <si>
    <t>Telefonszám</t>
  </si>
  <si>
    <t>Angol</t>
  </si>
  <si>
    <t>Német</t>
  </si>
  <si>
    <t>Aktualizálás időpontja:</t>
  </si>
  <si>
    <t>Időszak kezdete</t>
  </si>
  <si>
    <t>Időtartam</t>
  </si>
  <si>
    <t>A./</t>
  </si>
  <si>
    <t>B./</t>
  </si>
  <si>
    <t>Tantárgy jellege:</t>
  </si>
  <si>
    <t>Szaktárgy</t>
  </si>
  <si>
    <t>oktatási hét</t>
  </si>
  <si>
    <t>Intézet/klinika vezetője:</t>
  </si>
  <si>
    <t>1.</t>
  </si>
  <si>
    <t>2.</t>
  </si>
  <si>
    <t>3.</t>
  </si>
  <si>
    <t>Pécs,</t>
  </si>
  <si>
    <t>Oktató neve:</t>
  </si>
  <si>
    <t>Oktató státusza:</t>
  </si>
  <si>
    <t>Tantárgykód(ok):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</si>
  <si>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</si>
  <si>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</si>
  <si>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</si>
  <si>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</si>
  <si>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</si>
  <si>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</si>
  <si>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</si>
  <si>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</si>
  <si>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</si>
  <si>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</si>
  <si>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10.</t>
  </si>
  <si>
    <t>-</t>
  </si>
  <si>
    <t>.   elszámolási időszak:</t>
  </si>
  <si>
    <t xml:space="preserve">A vonatkozó elszámolási időszakban oktattak: </t>
  </si>
  <si>
    <t>Munkahelye</t>
  </si>
  <si>
    <t>Beküldési határidő:</t>
  </si>
  <si>
    <t xml:space="preserve">A Kari GH-ba érkezés időpontja (óra,perc) és módja: </t>
  </si>
  <si>
    <t>Az adatokat feldolgozó munkatárs neve:</t>
  </si>
  <si>
    <t>aláírás:</t>
  </si>
  <si>
    <t>postán  /  személyes kézbesítés útján</t>
  </si>
  <si>
    <t>intézet/klinika igazgató</t>
  </si>
  <si>
    <t>KITÖLTÉSI ÚTMUTATÓ</t>
  </si>
  <si>
    <t>(</t>
  </si>
  <si>
    <t>)</t>
  </si>
  <si>
    <t>.  elszámolási időszak</t>
  </si>
  <si>
    <t>Tantárgykód:</t>
  </si>
  <si>
    <t>választható szerződéstípusok</t>
  </si>
  <si>
    <t>Sor-szám</t>
  </si>
  <si>
    <t>Jelen teljesítésigazolás szerinti összeg (</t>
  </si>
  <si>
    <t>Fajlagos díjak:</t>
  </si>
  <si>
    <t>tantárgyfelelős, teljesítésigazoló</t>
  </si>
  <si>
    <t>Összesítő kísérőjegyzék</t>
  </si>
  <si>
    <t>Kifizetendő összeg összesen:</t>
  </si>
  <si>
    <t>tantárgyfelelős, ellenjegyző</t>
  </si>
  <si>
    <t>Intézet/klinika igazgató, ellenjegyző</t>
  </si>
  <si>
    <t>oktatási dékánhelyettes, teljesítésigazoló</t>
  </si>
  <si>
    <t>Szerződés iktatószáma:</t>
  </si>
  <si>
    <t>VM-es szerződés SAP-azonosítója:</t>
  </si>
  <si>
    <t>Vonatkozó időszak:</t>
  </si>
  <si>
    <t>Intézet/Klinika neve</t>
  </si>
  <si>
    <t>Képzés nyelve</t>
  </si>
  <si>
    <t>Tantárgy neve</t>
  </si>
  <si>
    <t>Tantárgy kódja:</t>
  </si>
  <si>
    <t>Ssz.</t>
  </si>
  <si>
    <t>Vizsgáztató neve</t>
  </si>
  <si>
    <t>Szigorlatok száma (fő):</t>
  </si>
  <si>
    <t>Szóbeli kollokviumok száma (fő):</t>
  </si>
  <si>
    <t>Mindösszesen</t>
  </si>
  <si>
    <t>Összesen:</t>
  </si>
  <si>
    <t>Vizsgák száma összesen:</t>
  </si>
  <si>
    <t>Tantárgyfelelős aláírása</t>
  </si>
  <si>
    <t>Kitöltötte:</t>
  </si>
  <si>
    <t>A VIZSGAJELENTÉSEK/TELJESÍTÉSIGAZOLÁSOK KIÁLLÍTÁSÁHOZ</t>
  </si>
  <si>
    <t>Időszak
vége</t>
  </si>
  <si>
    <t> Elszámolási időszak</t>
  </si>
  <si>
    <t>vizsgaidőszak</t>
  </si>
  <si>
    <r>
      <rPr>
        <i/>
        <sz val="12"/>
        <rFont val="Arial"/>
        <family val="2"/>
        <charset val="238"/>
      </rPr>
      <t xml:space="preserve">Kelt:  </t>
    </r>
    <r>
      <rPr>
        <b/>
        <sz val="12"/>
        <rFont val="Arial"/>
        <family val="2"/>
        <charset val="238"/>
      </rPr>
      <t xml:space="preserve"> Pécs,</t>
    </r>
  </si>
  <si>
    <t>Dr. Czopf László</t>
  </si>
  <si>
    <t>TANTÁRGYI TÖRZSADATOK</t>
  </si>
  <si>
    <t>) elszámolható.</t>
  </si>
  <si>
    <t>PTE ÁOK</t>
  </si>
  <si>
    <t>Területi és időbeli hatály</t>
  </si>
  <si>
    <t>területi hatály:</t>
  </si>
  <si>
    <t>időbeli hatály:</t>
  </si>
  <si>
    <t>Teljesítésigazolásokat kizárólag az oktatás nyelve szerint bontva, tantárgyanként és oktatási egységenként összegyűjtve fogadunk be!</t>
  </si>
  <si>
    <t>Az órák megtartását, a szerződés szerinti teljesítést igazolom.</t>
  </si>
  <si>
    <t>C./</t>
  </si>
  <si>
    <t>PTE GYTK</t>
  </si>
  <si>
    <t>20…………..…….</t>
  </si>
  <si>
    <t>20…………………………</t>
  </si>
  <si>
    <t>PTE Kancellária /</t>
  </si>
  <si>
    <t>magyar</t>
  </si>
  <si>
    <t>KK eü.szolg jogviszonyos</t>
  </si>
  <si>
    <t>7 hét</t>
  </si>
  <si>
    <t>Előadás</t>
  </si>
  <si>
    <t>Gyakorlat</t>
  </si>
  <si>
    <t>Szeminárium</t>
  </si>
  <si>
    <r>
      <t xml:space="preserve">Szigorlatok </t>
    </r>
    <r>
      <rPr>
        <b/>
        <sz val="11"/>
        <rFont val="Arial"/>
        <family val="2"/>
        <charset val="238"/>
      </rPr>
      <t xml:space="preserve">
[össz. lsz * 2.700 Ft/fő]</t>
    </r>
  </si>
  <si>
    <r>
      <t xml:space="preserve">Szóbeli kollokviumok </t>
    </r>
    <r>
      <rPr>
        <b/>
        <sz val="11"/>
        <rFont val="Arial"/>
        <family val="2"/>
        <charset val="238"/>
      </rPr>
      <t xml:space="preserve">
[össz. lsz * 1.800 Ft/fő]</t>
    </r>
  </si>
  <si>
    <r>
      <t xml:space="preserve">A szerződések, mint kötelezettségvállalások alapján történő teljesítések igazolásával kapcsolatos PTE-szabályzatok (Gazdálkodási Szabályzat, Szerződéskötési Szabályzat, Kötelezettség-vállalási Szabályzat, Beszerzési Szabályzat, stb) alapján </t>
    </r>
    <r>
      <rPr>
        <b/>
        <sz val="10"/>
        <rFont val="Arial"/>
        <family val="2"/>
        <charset val="238"/>
      </rPr>
      <t>a vizsgajelentéseket tantárgyanként kell elkészíteni</t>
    </r>
    <r>
      <rPr>
        <sz val="10"/>
        <rFont val="Arial"/>
        <family val="2"/>
        <charset val="238"/>
      </rPr>
      <t>, dokumentálni.</t>
    </r>
  </si>
  <si>
    <t xml:space="preserve">A munkalapon csak a sárgával jelzett mezőket kell/lehet kitölteni. A kitöltés során előforduló gyakoribb hibákra hibaüzenetek figyelmeztetnek, amelyeket a nyomtatást megelőzően javítani kell a korrekt adatfeldolgozás, vizsgajelentés-kiállítás érdekében. A hibásan kiállított és megküldött vizsgajelentések visszaküldésre kerülnek. </t>
  </si>
  <si>
    <t xml:space="preserve">A vizsgajelentés-táblát kitöltve, aláírva egy-egy példányban kérjük a kari gazdálkodási referens részére eljuttatni.
</t>
  </si>
  <si>
    <r>
      <rPr>
        <b/>
        <sz val="20"/>
        <rFont val="Arial"/>
        <family val="2"/>
        <charset val="238"/>
      </rPr>
      <t>Vizsgajelentés</t>
    </r>
    <r>
      <rPr>
        <b/>
        <sz val="16"/>
        <rFont val="Arial"/>
        <family val="2"/>
        <charset val="238"/>
      </rPr>
      <t xml:space="preserve"> óraadó megbízottak vizsgáztatási tevékenységéhez</t>
    </r>
  </si>
  <si>
    <r>
      <t xml:space="preserve">TELJESÍTÉSIGAZOLÁS 
</t>
    </r>
    <r>
      <rPr>
        <b/>
        <sz val="12"/>
        <rFont val="Arial"/>
        <family val="2"/>
        <charset val="238"/>
      </rPr>
      <t>óraadó megbízottak oktatási tevékenységének elszámolásához</t>
    </r>
  </si>
  <si>
    <t>Óraadó megbízott neve</t>
  </si>
  <si>
    <t>Dr. Rozmer Zsuzsanna</t>
  </si>
  <si>
    <t>oktatási dékánhelyettes</t>
  </si>
  <si>
    <t>munkafeladat-kitűzés (MF)</t>
  </si>
  <si>
    <t>A TELJESÍTÉSIGAZOLÁSOK KIÁLLÍTÁSÁHOZ</t>
  </si>
  <si>
    <t>A csatolt munkalapok a teljesítésigazolás mintákat az adott szemeszter minden elszámolási időszakára vonatkozóan tartalmazzák. Szemeszterenként a szorgalmi időszakban két elszámolási időszak van. Amennyiben a munkalapokat nem csupán kitöltésre, nyomtatásra, hanem nyilvántartásra is alkalmazni kívánja, úgy oktatónként/tantárgyanként külön file-ba mentse le.</t>
  </si>
  <si>
    <t xml:space="preserve">A munkalapokon csak a sárgával jelzett mezőket kell/lehet kitölteni. A kitöltés során előforduló gyakoribb hibákra teljesítésigazolás-kiállítás érdekében. A hibásan kiállított és megküldött teljesítésigazolások visszaküldésre kerülnek. </t>
  </si>
  <si>
    <t>A "Díjak és etapok" munkalap tájékoztatásul tartalmazza az aktuális fajlagos díjakat és az aktuális elszámolási/számlázási időszakokat.</t>
  </si>
  <si>
    <t>A "Tantárgyi törzsadatok" munkalapot a szemeszter elején, egy alkalommal kell kitölteni a tantárgy és a közreműködő óraadó oktatók adataival. Ezt követően csak akkor kell a munkalap tartalmával foglalkozni, ha az óraadók adataiban változás, vagy az óraadók körében bővülés van. A tantárgyra vonatkozó adatok, valamint az óraadók adatai erről a munkalapról, az itt rögzítetteknek megfelelő tartalommal kerülnek át az egyes teljesítésigazolás-lapokra. 
Ezt a kitöltött munkalapot nem kell kinyomtatni, megküldeni.</t>
  </si>
  <si>
    <t>Az adott óraadó által az érintett időszakban teljesített foglalkozások rögzítésére a "Tantárgyi törzsadatok" munkalapon az érintett óraadónak adott sorszámot kell a vonatkozó teljesítésigazolás-munkalap megfelelő rovatába beírni (csak a számot kell beütni, utána nem szabad pontot tenni!), ennek alapján az ott korábban rögzített tartalom jelenik meg a munkalapon.
A munkalapon ezt követően az adott időszak oktatási napjain megtartott foglalkozások számát kell a megfelelő rovatban rögzíteni.</t>
  </si>
  <si>
    <t>A teljesítésigazolás-munkalapok kitöltését, kinyomtatását követően - amennyiben több lap készült - ki kell tölteni a megfelelő kísérőjegyzéket, melyen csupán az elszámolási időszak sorszámát (a "Díjak és etapok" munkalapról), valamint az érintett óraadók sorszámát (a "Tantárgyi törzsadatok" munkalapról) kell rögzíteni. 
A sorszámoknál csak a számot kell beütni, utána nem szabad pontot tenni!
A kitöltött kísérőjegyzékhez csatolni kell az azon felsorolt óraadók teljeskörűen kitöltött, aláírt teljesítésigazolásait.</t>
  </si>
  <si>
    <t>A kísérőjegyzéket és a csatolt teljesítésigazolások mindegyikét a tantárgyfelelősnek, az intézet/klinika vezetőjének/helyettesének, valamint az oktatási dékánhelyettesnek alá kell írnia és azt a vonatkozó határidőig el kell juttatni a kari gazdálkodási referensnek.</t>
  </si>
  <si>
    <t>előadás díja:</t>
  </si>
  <si>
    <t>Díj</t>
  </si>
  <si>
    <t>gyakorlat díja:</t>
  </si>
  <si>
    <t>(a teljesítésigazolásokat ezekre az időszakokra összesítve kell elkészíteni)</t>
  </si>
  <si>
    <t>Fajlagos díjak és elszámolási időszakok</t>
  </si>
  <si>
    <t>Elszámolási időszakok</t>
  </si>
  <si>
    <t>Hatályos díjak</t>
  </si>
  <si>
    <t>A fent részletezettek alapján a munkafeladat-kitűző szerinti teljesítést igazoljuk.</t>
  </si>
  <si>
    <t xml:space="preserve"> Egyúttal igazoljuk, hogy a fentiek megegyeznek a NEPTUN egységes tanulmányi rendszerben rögzített adatokkal!</t>
  </si>
  <si>
    <t xml:space="preserve">A munkafeladat-kitűzések alapján járó díjazások elszámolása a HPI-n keresztül történik. 
</t>
  </si>
  <si>
    <t>Első lépésként itt kell beállítani a szerződésben érintett ("megrendelő") Kar megnevezését!</t>
  </si>
  <si>
    <t>Óraadó megbízottakkal kötött munkafeladat-kitűzésekhez
kapcsolódó teljesítésigazolásokról</t>
  </si>
  <si>
    <t>megbízási szerződés (M)</t>
  </si>
  <si>
    <t>Más (nem PTE) alkalmazott (külsős)</t>
  </si>
  <si>
    <t>Óraadó megbízott státusza</t>
  </si>
  <si>
    <t>Amennyiben a vizsgáztatók között megbízási szerződés és munkafeladat-kitűzés alapján díjazottak egyaránt vannak, úgy számukra szerződéstípusonként külön vizsgajelentés-lapot kell készíteni!</t>
  </si>
  <si>
    <t>A munkafeladat-kitűzés (MF) alapján oktató óraadók teljesítésigazolásainak egy-egy, ugyancsak aláírt példányát át kell adni az érintettnek.</t>
  </si>
  <si>
    <t>KK munkajogviszonyos</t>
  </si>
  <si>
    <t>többletfeladat-kitűzés (TF)</t>
  </si>
  <si>
    <r>
      <t xml:space="preserve">Oktatói státuszok
</t>
    </r>
    <r>
      <rPr>
        <i/>
        <sz val="12"/>
        <rFont val="Arial"/>
        <family val="2"/>
        <charset val="238"/>
      </rPr>
      <t>(lehetséges szerződéstípusok)</t>
    </r>
  </si>
  <si>
    <r>
      <t xml:space="preserve">A vizsgajelentés-tábla tartalmazza egyrészt a tantárgy azonosító adatait, másrészt a tantárgy vizsgáztatásában közreműködő óraadók nevét, illetve az általuk teljesített vizsgáztatások vizsgatípusonkénti mennyiségét. A vizsgáztatásban közreműködő óraadóknak járó vizsgáztatási díjak kiszámítása is ezen a munkalapon történik.
Az első oszlopba a "Tantárgyi törzsadatok" munkalapon a vizsgáztatásban is részt vett óraadónak korábban adott sorszámot, valamint az általa teljesített vizsgáztatások számát kell beírni.
A munkalapon csak az érvényes munkafeladat-kitűzéssel rendelkező, vizsgáztatásban közreműködő óraadók szerepeltethetők.
</t>
    </r>
    <r>
      <rPr>
        <b/>
        <sz val="10"/>
        <rFont val="Arial"/>
        <family val="2"/>
        <charset val="238"/>
      </rPr>
      <t>FIGYELEM!</t>
    </r>
    <r>
      <rPr>
        <sz val="10"/>
        <rFont val="Arial"/>
        <family val="2"/>
        <charset val="238"/>
      </rPr>
      <t xml:space="preserve"> A magyar nyelvű graduális képzésekben csak azon hallgatók vizsgáztatása után lehet arányos vizsgáztatási díjat elszámolni, akiket olyan, vizsgáztatásban közreműködő személy vizsgáztat, akinek nincs oktatói munkakörre vonatkozó munkajogviszonya, továbbá emeritusi megállapodása sem!</t>
    </r>
  </si>
  <si>
    <r>
      <t xml:space="preserve">A munkalap </t>
    </r>
    <r>
      <rPr>
        <u/>
        <sz val="10"/>
        <rFont val="Arial"/>
        <family val="2"/>
        <charset val="238"/>
      </rPr>
      <t>alapvetően</t>
    </r>
    <r>
      <rPr>
        <sz val="10"/>
        <rFont val="Arial"/>
        <family val="2"/>
        <charset val="238"/>
      </rPr>
      <t xml:space="preserve"> a KK-val egészségügyi szolgálati jogviszonyban álló, a </t>
    </r>
    <r>
      <rPr>
        <b/>
        <sz val="10"/>
        <rFont val="Arial"/>
        <family val="2"/>
        <charset val="238"/>
      </rPr>
      <t xml:space="preserve">Kar magyar nyelvű, osztatlan képzésében </t>
    </r>
    <r>
      <rPr>
        <b/>
        <u/>
        <sz val="10"/>
        <rFont val="Arial"/>
        <family val="2"/>
        <charset val="238"/>
      </rPr>
      <t>munkafeladat-kitűzés (MF)</t>
    </r>
    <r>
      <rPr>
        <b/>
        <sz val="10"/>
        <rFont val="Arial"/>
        <family val="2"/>
        <charset val="238"/>
      </rPr>
      <t xml:space="preserve"> alapján óraadó oktatóként közreműködő </t>
    </r>
    <r>
      <rPr>
        <sz val="10"/>
        <rFont val="Arial"/>
        <family val="2"/>
        <charset val="238"/>
      </rPr>
      <t>megbízottak (</t>
    </r>
    <r>
      <rPr>
        <i/>
        <u/>
        <sz val="10"/>
        <rFont val="Arial"/>
        <family val="2"/>
        <charset val="238"/>
      </rPr>
      <t>akik nem állnak a PTE-vel oktatói jogviszonyban</t>
    </r>
    <r>
      <rPr>
        <sz val="10"/>
        <rFont val="Arial"/>
        <family val="2"/>
        <charset val="238"/>
      </rPr>
      <t>) vizsgáztatási tevékenységének elszámolására alkalmazandó.
Kézi kitöltés nem fogadható el, kérjük, hogy minden esetben az elektronikusan kitöltött táblákat nyomtassa ki, írassa alá és küldje el.</t>
    </r>
  </si>
  <si>
    <r>
      <t xml:space="preserve">A teljesítésigazolások </t>
    </r>
    <r>
      <rPr>
        <u/>
        <sz val="10"/>
        <rFont val="Arial"/>
        <family val="2"/>
        <charset val="238"/>
      </rPr>
      <t>alapvetően</t>
    </r>
    <r>
      <rPr>
        <sz val="10"/>
        <rFont val="Arial"/>
        <family val="2"/>
        <charset val="238"/>
      </rPr>
      <t xml:space="preserve"> a KK-val egészségügyi szolgálati jogviszonyban álló, a Kar </t>
    </r>
    <r>
      <rPr>
        <b/>
        <sz val="10"/>
        <rFont val="Arial"/>
        <family val="2"/>
        <charset val="238"/>
      </rPr>
      <t>magyar nyelvű, osztatlan képzésében munkafeladat-kitűzés (MF) alapján óraadó oktatóként közreműködő</t>
    </r>
    <r>
      <rPr>
        <sz val="10"/>
        <rFont val="Arial"/>
        <family val="2"/>
        <charset val="238"/>
      </rPr>
      <t xml:space="preserve"> megbízottak (akik nem állnak a PTE-vel oktatói jogviszonyban) óraelszámolására vonatkoznak.</t>
    </r>
  </si>
  <si>
    <t>Gazdálkodási koordinátor/ gazdasági területi referensek</t>
  </si>
  <si>
    <r>
      <t>g</t>
    </r>
    <r>
      <rPr>
        <i/>
        <sz val="9"/>
        <rFont val="Arial"/>
        <family val="2"/>
        <charset val="238"/>
      </rPr>
      <t>azdálkodási koordinátor/ gazdasági területi referensek</t>
    </r>
  </si>
  <si>
    <t xml:space="preserve">Fontos! Ezt a teljesítésigazolást legalább két példányban kell kiállítani, melyből az egyik példányt a fentebb feltüntetett határidőig 
a Kari Gazdasági Referatúra részére kell megküldeni, a másik példányt pedig az oktatónak kell átadni. </t>
  </si>
  <si>
    <t>A Kari Gazdasági Referatúra tölti ki !</t>
  </si>
  <si>
    <t>A Kari Gazdasági Referatúrának küldés határideje:</t>
  </si>
  <si>
    <t>A Kari Ggazdasági Referatúra tölti ki !</t>
  </si>
  <si>
    <t>Visszaküldendő a Kari Gazdasági Referatúrának (7624 Pécs, Szigeti út 12. V. emelet) a táblázatban felsorolt oktatókra vonatkozó, az érintett időszakban az adott tantárgy oktatásában teljesített óraadást igazoló teljesítésigazolások egy-egy példányával együtt.</t>
  </si>
  <si>
    <t>A táblát kérjük kitöltve, aláírva, 1 példányban
a Kari Gazdasági Referatúra részére megküldeni!</t>
  </si>
  <si>
    <t>szeminárium díja:</t>
  </si>
  <si>
    <t>2024/2025. tanév II. félév - tavaszi szemeszter</t>
  </si>
  <si>
    <t>Tavaszi szünet</t>
  </si>
  <si>
    <t>Pécs, 2025. február 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</si>
</sst>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Ft&quot;"/>
    <numFmt numFmtId="165" formatCode="yyyy/mm/dd;@"/>
    <numFmt numFmtId="166" formatCode="[$-40E]mmmm\ d\.;@"/>
    <numFmt numFmtId="167" formatCode="[$-40E]yyyy/\ mmmm\ d\.;@"/>
  </numFmts>
  <fonts count="71" x14ac:knownFonts="1">
    <font>
      <sz val="12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1"/>
      <name val="Arial CE"/>
      <charset val="238"/>
    </font>
    <font>
      <b/>
      <i/>
      <sz val="11"/>
      <name val="Arial CE"/>
      <charset val="238"/>
    </font>
    <font>
      <b/>
      <i/>
      <sz val="10"/>
      <name val="Arial CE"/>
      <charset val="238"/>
    </font>
    <font>
      <b/>
      <sz val="12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1"/>
      <color indexed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indexed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3"/>
      <color indexed="12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b/>
      <u/>
      <sz val="11"/>
      <name val="Arial"/>
      <family val="2"/>
      <charset val="238"/>
    </font>
    <font>
      <b/>
      <sz val="7"/>
      <color indexed="10"/>
      <name val="Arial"/>
      <family val="2"/>
      <charset val="238"/>
    </font>
    <font>
      <i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0.5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20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i/>
      <u/>
      <sz val="12"/>
      <name val="Arial"/>
      <family val="2"/>
      <charset val="238"/>
    </font>
    <font>
      <b/>
      <i/>
      <sz val="13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i/>
      <sz val="11"/>
      <color theme="4" tint="-0.249977111117893"/>
      <name val="Arial CE"/>
      <charset val="238"/>
    </font>
    <font>
      <b/>
      <sz val="9"/>
      <color rgb="FFFF0000"/>
      <name val="Arial"/>
      <family val="2"/>
      <charset val="238"/>
    </font>
    <font>
      <b/>
      <i/>
      <sz val="11"/>
      <color rgb="FFFF0000"/>
      <name val="Arial CE"/>
      <charset val="238"/>
    </font>
    <font>
      <b/>
      <i/>
      <sz val="11"/>
      <color theme="4" tint="-0.249977111117893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u/>
      <sz val="10"/>
      <name val="Arial"/>
      <family val="2"/>
      <charset val="238"/>
    </font>
    <font>
      <b/>
      <i/>
      <sz val="8"/>
      <color indexed="81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7" fillId="0" borderId="0"/>
    <xf numFmtId="0" fontId="58" fillId="0" borderId="0"/>
    <xf numFmtId="0" fontId="16" fillId="0" borderId="0"/>
    <xf numFmtId="0" fontId="3" fillId="0" borderId="0"/>
  </cellStyleXfs>
  <cellXfs count="480">
    <xf numFmtId="0" fontId="0" fillId="0" borderId="0" xfId="0"/>
    <xf numFmtId="0" fontId="0" fillId="0" borderId="0" xfId="0" applyAlignment="1"/>
    <xf numFmtId="0" fontId="4" fillId="0" borderId="0" xfId="0" applyFont="1" applyBorder="1" applyAlignment="1">
      <alignment horizontal="left" indent="1"/>
    </xf>
    <xf numFmtId="3" fontId="5" fillId="0" borderId="0" xfId="0" applyNumberFormat="1" applyFon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right"/>
    </xf>
    <xf numFmtId="0" fontId="1" fillId="3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17" fillId="0" borderId="5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/>
    <xf numFmtId="0" fontId="19" fillId="0" borderId="0" xfId="0" applyFont="1"/>
    <xf numFmtId="0" fontId="17" fillId="0" borderId="0" xfId="0" applyFont="1" applyBorder="1" applyAlignment="1">
      <alignment horizontal="center"/>
    </xf>
    <xf numFmtId="14" fontId="17" fillId="0" borderId="0" xfId="0" applyNumberFormat="1" applyFont="1" applyBorder="1" applyAlignment="1">
      <alignment horizontal="center"/>
    </xf>
    <xf numFmtId="0" fontId="20" fillId="2" borderId="12" xfId="0" applyFont="1" applyFill="1" applyBorder="1"/>
    <xf numFmtId="0" fontId="20" fillId="2" borderId="13" xfId="0" applyFont="1" applyFill="1" applyBorder="1"/>
    <xf numFmtId="0" fontId="20" fillId="2" borderId="14" xfId="0" applyFont="1" applyFill="1" applyBorder="1"/>
    <xf numFmtId="0" fontId="0" fillId="0" borderId="7" xfId="0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21" fillId="4" borderId="7" xfId="0" applyNumberFormat="1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" fontId="9" fillId="5" borderId="15" xfId="4" applyNumberFormat="1" applyFont="1" applyFill="1" applyBorder="1"/>
    <xf numFmtId="0" fontId="24" fillId="0" borderId="0" xfId="0" applyFont="1" applyFill="1" applyBorder="1"/>
    <xf numFmtId="49" fontId="1" fillId="0" borderId="16" xfId="4" applyNumberFormat="1" applyFont="1" applyBorder="1" applyAlignment="1">
      <alignment horizontal="center" vertical="center" textRotation="90"/>
    </xf>
    <xf numFmtId="0" fontId="1" fillId="0" borderId="17" xfId="4" applyFont="1" applyBorder="1" applyAlignment="1">
      <alignment horizontal="center" vertical="center"/>
    </xf>
    <xf numFmtId="0" fontId="16" fillId="0" borderId="18" xfId="4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 wrapText="1"/>
    </xf>
    <xf numFmtId="0" fontId="7" fillId="6" borderId="16" xfId="4" applyFont="1" applyFill="1" applyBorder="1" applyAlignment="1">
      <alignment horizontal="right"/>
    </xf>
    <xf numFmtId="0" fontId="7" fillId="6" borderId="20" xfId="4" applyFont="1" applyFill="1" applyBorder="1" applyAlignment="1">
      <alignment horizontal="right"/>
    </xf>
    <xf numFmtId="0" fontId="7" fillId="6" borderId="17" xfId="4" applyFont="1" applyFill="1" applyBorder="1" applyAlignment="1">
      <alignment horizontal="right"/>
    </xf>
    <xf numFmtId="0" fontId="7" fillId="0" borderId="15" xfId="4" applyFont="1" applyBorder="1" applyAlignment="1">
      <alignment horizontal="center"/>
    </xf>
    <xf numFmtId="3" fontId="16" fillId="7" borderId="15" xfId="4" applyNumberFormat="1" applyFont="1" applyFill="1" applyBorder="1"/>
    <xf numFmtId="0" fontId="16" fillId="0" borderId="0" xfId="0" applyFont="1" applyAlignment="1">
      <alignment vertical="center"/>
    </xf>
    <xf numFmtId="3" fontId="16" fillId="2" borderId="15" xfId="4" applyNumberFormat="1" applyFont="1" applyFill="1" applyBorder="1" applyAlignment="1">
      <alignment vertical="center"/>
    </xf>
    <xf numFmtId="3" fontId="16" fillId="0" borderId="21" xfId="4" applyNumberFormat="1" applyFont="1" applyFill="1" applyBorder="1"/>
    <xf numFmtId="49" fontId="16" fillId="0" borderId="0" xfId="0" applyNumberFormat="1" applyFont="1"/>
    <xf numFmtId="0" fontId="25" fillId="0" borderId="22" xfId="4" applyFont="1" applyBorder="1" applyAlignment="1">
      <alignment horizontal="center"/>
    </xf>
    <xf numFmtId="0" fontId="27" fillId="0" borderId="22" xfId="4" applyFont="1" applyBorder="1"/>
    <xf numFmtId="0" fontId="27" fillId="0" borderId="23" xfId="4" applyFont="1" applyBorder="1"/>
    <xf numFmtId="0" fontId="25" fillId="0" borderId="0" xfId="4" applyFont="1" applyBorder="1" applyAlignment="1">
      <alignment horizontal="center"/>
    </xf>
    <xf numFmtId="0" fontId="27" fillId="0" borderId="0" xfId="4" applyFont="1" applyBorder="1"/>
    <xf numFmtId="0" fontId="27" fillId="0" borderId="24" xfId="4" applyFont="1" applyBorder="1"/>
    <xf numFmtId="0" fontId="27" fillId="0" borderId="25" xfId="4" applyFont="1" applyBorder="1"/>
    <xf numFmtId="0" fontId="27" fillId="0" borderId="26" xfId="4" applyFont="1" applyBorder="1"/>
    <xf numFmtId="0" fontId="25" fillId="0" borderId="25" xfId="4" applyFont="1" applyBorder="1" applyAlignment="1">
      <alignment horizontal="right"/>
    </xf>
    <xf numFmtId="0" fontId="16" fillId="0" borderId="27" xfId="0" applyFont="1" applyBorder="1"/>
    <xf numFmtId="49" fontId="25" fillId="0" borderId="22" xfId="4" applyNumberFormat="1" applyFont="1" applyBorder="1" applyAlignment="1">
      <alignment horizontal="left"/>
    </xf>
    <xf numFmtId="49" fontId="25" fillId="0" borderId="0" xfId="4" applyNumberFormat="1" applyFont="1" applyBorder="1" applyAlignment="1">
      <alignment horizontal="center"/>
    </xf>
    <xf numFmtId="49" fontId="25" fillId="0" borderId="0" xfId="4" applyNumberFormat="1" applyFont="1" applyBorder="1" applyAlignment="1">
      <alignment horizontal="left"/>
    </xf>
    <xf numFmtId="0" fontId="16" fillId="0" borderId="28" xfId="0" applyFont="1" applyBorder="1"/>
    <xf numFmtId="0" fontId="16" fillId="0" borderId="29" xfId="0" applyFont="1" applyBorder="1"/>
    <xf numFmtId="0" fontId="28" fillId="0" borderId="0" xfId="4" applyFont="1" applyBorder="1" applyAlignment="1">
      <alignment vertical="center" wrapText="1"/>
    </xf>
    <xf numFmtId="0" fontId="25" fillId="0" borderId="30" xfId="4" applyFont="1" applyBorder="1" applyAlignment="1">
      <alignment horizontal="center" vertical="center" wrapText="1"/>
    </xf>
    <xf numFmtId="0" fontId="27" fillId="0" borderId="30" xfId="4" applyFont="1" applyBorder="1" applyAlignment="1">
      <alignment vertical="center" wrapText="1"/>
    </xf>
    <xf numFmtId="0" fontId="27" fillId="0" borderId="31" xfId="4" applyFont="1" applyBorder="1"/>
    <xf numFmtId="0" fontId="16" fillId="0" borderId="32" xfId="0" applyFont="1" applyBorder="1" applyAlignment="1"/>
    <xf numFmtId="0" fontId="16" fillId="4" borderId="3" xfId="4" applyFont="1" applyFill="1" applyBorder="1" applyProtection="1">
      <protection locked="0"/>
    </xf>
    <xf numFmtId="0" fontId="16" fillId="4" borderId="33" xfId="4" applyFont="1" applyFill="1" applyBorder="1" applyProtection="1">
      <protection locked="0"/>
    </xf>
    <xf numFmtId="0" fontId="16" fillId="4" borderId="12" xfId="4" applyFont="1" applyFill="1" applyBorder="1" applyProtection="1">
      <protection locked="0"/>
    </xf>
    <xf numFmtId="0" fontId="16" fillId="4" borderId="1" xfId="4" applyFont="1" applyFill="1" applyBorder="1" applyProtection="1">
      <protection locked="0"/>
    </xf>
    <xf numFmtId="0" fontId="16" fillId="4" borderId="7" xfId="4" applyFont="1" applyFill="1" applyBorder="1" applyProtection="1">
      <protection locked="0"/>
    </xf>
    <xf numFmtId="0" fontId="16" fillId="4" borderId="13" xfId="4" applyFont="1" applyFill="1" applyBorder="1" applyProtection="1"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>
      <alignment horizontal="center" wrapText="1"/>
    </xf>
    <xf numFmtId="164" fontId="5" fillId="0" borderId="35" xfId="0" applyNumberFormat="1" applyFont="1" applyBorder="1"/>
    <xf numFmtId="164" fontId="5" fillId="0" borderId="36" xfId="0" applyNumberFormat="1" applyFont="1" applyBorder="1"/>
    <xf numFmtId="0" fontId="6" fillId="0" borderId="27" xfId="0" applyFont="1" applyBorder="1" applyAlignment="1">
      <alignment horizontal="center"/>
    </xf>
    <xf numFmtId="0" fontId="1" fillId="0" borderId="27" xfId="0" applyFont="1" applyFill="1" applyBorder="1" applyAlignment="1">
      <alignment horizontal="center" wrapText="1"/>
    </xf>
    <xf numFmtId="0" fontId="42" fillId="0" borderId="0" xfId="0" applyFont="1"/>
    <xf numFmtId="14" fontId="0" fillId="0" borderId="0" xfId="0" applyNumberFormat="1" applyFill="1" applyBorder="1"/>
    <xf numFmtId="14" fontId="0" fillId="4" borderId="37" xfId="0" applyNumberFormat="1" applyFill="1" applyBorder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right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49" fontId="7" fillId="0" borderId="32" xfId="0" applyNumberFormat="1" applyFont="1" applyFill="1" applyBorder="1" applyAlignment="1" applyProtection="1"/>
    <xf numFmtId="0" fontId="0" fillId="0" borderId="0" xfId="0" applyProtection="1"/>
    <xf numFmtId="0" fontId="14" fillId="0" borderId="0" xfId="0" applyFont="1" applyProtection="1"/>
    <xf numFmtId="0" fontId="0" fillId="0" borderId="0" xfId="0" applyAlignment="1" applyProtection="1">
      <alignment horizontal="center"/>
    </xf>
    <xf numFmtId="0" fontId="10" fillId="8" borderId="7" xfId="0" applyFont="1" applyFill="1" applyBorder="1" applyProtection="1"/>
    <xf numFmtId="49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Protection="1"/>
    <xf numFmtId="0" fontId="0" fillId="0" borderId="32" xfId="0" applyBorder="1" applyAlignment="1" applyProtection="1"/>
    <xf numFmtId="0" fontId="0" fillId="0" borderId="0" xfId="0" applyBorder="1" applyAlignment="1" applyProtection="1"/>
    <xf numFmtId="49" fontId="7" fillId="0" borderId="0" xfId="0" applyNumberFormat="1" applyFont="1" applyFill="1" applyBorder="1" applyAlignment="1" applyProtection="1"/>
    <xf numFmtId="0" fontId="16" fillId="0" borderId="0" xfId="0" applyFont="1" applyProtection="1"/>
    <xf numFmtId="0" fontId="22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14" fontId="7" fillId="0" borderId="0" xfId="0" applyNumberFormat="1" applyFont="1" applyAlignment="1" applyProtection="1">
      <alignment horizontal="center" vertical="center"/>
    </xf>
    <xf numFmtId="0" fontId="16" fillId="0" borderId="0" xfId="0" quotePrefix="1" applyFont="1" applyAlignment="1" applyProtection="1">
      <alignment vertical="center"/>
    </xf>
    <xf numFmtId="14" fontId="7" fillId="0" borderId="0" xfId="0" applyNumberFormat="1" applyFont="1" applyAlignment="1" applyProtection="1">
      <alignment horizontal="left" vertical="center"/>
    </xf>
    <xf numFmtId="0" fontId="4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41" fillId="0" borderId="0" xfId="0" applyFont="1" applyAlignment="1" applyProtection="1">
      <alignment horizontal="center" vertical="center" wrapText="1"/>
    </xf>
    <xf numFmtId="0" fontId="16" fillId="0" borderId="0" xfId="0" applyFont="1" applyBorder="1" applyProtection="1"/>
    <xf numFmtId="0" fontId="19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49" fontId="16" fillId="0" borderId="0" xfId="0" applyNumberFormat="1" applyFont="1" applyBorder="1" applyAlignment="1" applyProtection="1"/>
    <xf numFmtId="0" fontId="16" fillId="0" borderId="0" xfId="0" applyFont="1" applyBorder="1" applyAlignment="1" applyProtection="1"/>
    <xf numFmtId="0" fontId="23" fillId="0" borderId="0" xfId="0" applyFont="1" applyFill="1" applyBorder="1" applyAlignment="1" applyProtection="1"/>
    <xf numFmtId="0" fontId="34" fillId="8" borderId="9" xfId="0" applyFont="1" applyFill="1" applyBorder="1" applyAlignment="1" applyProtection="1">
      <alignment horizontal="center" vertical="center" wrapText="1"/>
    </xf>
    <xf numFmtId="0" fontId="35" fillId="8" borderId="10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39" fillId="0" borderId="0" xfId="0" applyFont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39" xfId="0" applyFont="1" applyBorder="1" applyAlignment="1" applyProtection="1">
      <alignment vertical="center" wrapText="1"/>
    </xf>
    <xf numFmtId="0" fontId="16" fillId="0" borderId="0" xfId="0" applyFont="1" applyAlignment="1" applyProtection="1">
      <alignment horizontal="justify"/>
    </xf>
    <xf numFmtId="49" fontId="30" fillId="0" borderId="40" xfId="0" applyNumberFormat="1" applyFont="1" applyBorder="1" applyAlignment="1" applyProtection="1">
      <alignment horizontal="center"/>
    </xf>
    <xf numFmtId="49" fontId="1" fillId="0" borderId="40" xfId="0" applyNumberFormat="1" applyFont="1" applyBorder="1" applyAlignment="1" applyProtection="1">
      <alignment horizontal="center"/>
    </xf>
    <xf numFmtId="49" fontId="16" fillId="0" borderId="0" xfId="0" applyNumberFormat="1" applyFont="1" applyProtection="1"/>
    <xf numFmtId="0" fontId="37" fillId="0" borderId="0" xfId="0" applyFont="1" applyAlignment="1" applyProtection="1">
      <alignment horizontal="center"/>
    </xf>
    <xf numFmtId="0" fontId="30" fillId="0" borderId="27" xfId="0" applyFont="1" applyBorder="1" applyAlignment="1" applyProtection="1">
      <alignment horizontal="right" wrapText="1"/>
    </xf>
    <xf numFmtId="14" fontId="38" fillId="0" borderId="0" xfId="0" applyNumberFormat="1" applyFont="1" applyBorder="1" applyAlignment="1" applyProtection="1">
      <alignment horizontal="center" wrapText="1"/>
    </xf>
    <xf numFmtId="0" fontId="30" fillId="0" borderId="0" xfId="0" applyFont="1" applyBorder="1" applyAlignment="1" applyProtection="1">
      <alignment wrapText="1"/>
    </xf>
    <xf numFmtId="0" fontId="30" fillId="0" borderId="24" xfId="0" applyFont="1" applyBorder="1" applyAlignment="1" applyProtection="1">
      <alignment wrapText="1"/>
    </xf>
    <xf numFmtId="49" fontId="25" fillId="0" borderId="28" xfId="4" applyNumberFormat="1" applyFont="1" applyBorder="1" applyAlignment="1" applyProtection="1">
      <alignment horizontal="left"/>
    </xf>
    <xf numFmtId="0" fontId="25" fillId="0" borderId="22" xfId="4" applyFont="1" applyBorder="1" applyAlignment="1" applyProtection="1">
      <alignment horizontal="center"/>
    </xf>
    <xf numFmtId="0" fontId="27" fillId="0" borderId="22" xfId="4" applyFont="1" applyBorder="1" applyProtection="1"/>
    <xf numFmtId="0" fontId="27" fillId="0" borderId="23" xfId="4" applyFont="1" applyBorder="1" applyProtection="1"/>
    <xf numFmtId="49" fontId="25" fillId="0" borderId="27" xfId="4" applyNumberFormat="1" applyFont="1" applyBorder="1" applyAlignment="1" applyProtection="1">
      <alignment horizontal="center"/>
    </xf>
    <xf numFmtId="0" fontId="25" fillId="0" borderId="0" xfId="4" applyFont="1" applyBorder="1" applyAlignment="1" applyProtection="1">
      <alignment horizontal="center"/>
    </xf>
    <xf numFmtId="0" fontId="27" fillId="0" borderId="0" xfId="4" applyFont="1" applyBorder="1" applyProtection="1"/>
    <xf numFmtId="0" fontId="27" fillId="0" borderId="24" xfId="4" applyFont="1" applyBorder="1" applyProtection="1"/>
    <xf numFmtId="49" fontId="36" fillId="0" borderId="27" xfId="4" applyNumberFormat="1" applyFont="1" applyBorder="1" applyAlignment="1" applyProtection="1">
      <alignment horizontal="right" wrapText="1"/>
    </xf>
    <xf numFmtId="0" fontId="36" fillId="0" borderId="0" xfId="4" applyFont="1" applyBorder="1" applyAlignment="1" applyProtection="1">
      <alignment horizontal="left" wrapText="1"/>
    </xf>
    <xf numFmtId="0" fontId="27" fillId="0" borderId="0" xfId="4" applyFont="1" applyBorder="1" applyAlignment="1" applyProtection="1">
      <alignment wrapText="1"/>
    </xf>
    <xf numFmtId="49" fontId="28" fillId="0" borderId="0" xfId="4" applyNumberFormat="1" applyFont="1" applyBorder="1" applyAlignment="1" applyProtection="1">
      <alignment horizontal="right" wrapText="1"/>
    </xf>
    <xf numFmtId="49" fontId="27" fillId="0" borderId="0" xfId="4" applyNumberFormat="1" applyFont="1" applyBorder="1" applyAlignment="1" applyProtection="1">
      <alignment horizontal="right" vertical="center" wrapText="1"/>
    </xf>
    <xf numFmtId="0" fontId="27" fillId="0" borderId="27" xfId="0" applyFont="1" applyBorder="1" applyAlignment="1" applyProtection="1">
      <alignment horizontal="right" vertical="center"/>
    </xf>
    <xf numFmtId="0" fontId="28" fillId="0" borderId="0" xfId="4" applyFont="1" applyBorder="1" applyAlignment="1" applyProtection="1">
      <alignment horizontal="left"/>
    </xf>
    <xf numFmtId="0" fontId="27" fillId="0" borderId="0" xfId="4" applyFont="1" applyBorder="1" applyAlignment="1" applyProtection="1">
      <alignment vertical="center" wrapText="1"/>
    </xf>
    <xf numFmtId="0" fontId="27" fillId="0" borderId="0" xfId="4" applyFont="1" applyBorder="1" applyAlignment="1" applyProtection="1">
      <alignment horizontal="right" vertical="center" wrapText="1"/>
    </xf>
    <xf numFmtId="0" fontId="27" fillId="0" borderId="0" xfId="0" applyFont="1" applyBorder="1" applyProtection="1"/>
    <xf numFmtId="49" fontId="27" fillId="0" borderId="27" xfId="4" applyNumberFormat="1" applyFont="1" applyBorder="1" applyAlignment="1" applyProtection="1">
      <alignment horizontal="left"/>
    </xf>
    <xf numFmtId="0" fontId="27" fillId="0" borderId="0" xfId="4" applyFont="1" applyBorder="1" applyAlignment="1" applyProtection="1">
      <alignment horizontal="center"/>
    </xf>
    <xf numFmtId="0" fontId="28" fillId="0" borderId="29" xfId="4" applyFont="1" applyBorder="1" applyAlignment="1" applyProtection="1">
      <alignment horizontal="right" vertical="center"/>
    </xf>
    <xf numFmtId="0" fontId="27" fillId="0" borderId="25" xfId="4" applyFont="1" applyBorder="1" applyAlignment="1" applyProtection="1">
      <alignment horizontal="right" vertical="center"/>
    </xf>
    <xf numFmtId="0" fontId="27" fillId="0" borderId="25" xfId="4" applyFont="1" applyBorder="1" applyAlignment="1" applyProtection="1">
      <alignment vertical="center"/>
    </xf>
    <xf numFmtId="0" fontId="28" fillId="0" borderId="25" xfId="4" applyFont="1" applyBorder="1" applyAlignment="1" applyProtection="1">
      <alignment horizontal="right" vertical="center"/>
    </xf>
    <xf numFmtId="0" fontId="27" fillId="0" borderId="26" xfId="4" applyFont="1" applyBorder="1" applyProtection="1"/>
    <xf numFmtId="0" fontId="12" fillId="0" borderId="0" xfId="0" applyFont="1"/>
    <xf numFmtId="0" fontId="12" fillId="0" borderId="0" xfId="0" applyFont="1" applyAlignment="1">
      <alignment horizontal="right" vertical="top"/>
    </xf>
    <xf numFmtId="0" fontId="13" fillId="9" borderId="0" xfId="0" applyFont="1" applyFill="1"/>
    <xf numFmtId="0" fontId="16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0" fontId="16" fillId="0" borderId="0" xfId="0" quotePrefix="1" applyFont="1" applyAlignment="1">
      <alignment horizontal="center"/>
    </xf>
    <xf numFmtId="0" fontId="26" fillId="2" borderId="13" xfId="0" applyFont="1" applyFill="1" applyBorder="1"/>
    <xf numFmtId="0" fontId="7" fillId="0" borderId="0" xfId="0" applyFont="1" applyAlignment="1"/>
    <xf numFmtId="0" fontId="25" fillId="0" borderId="25" xfId="4" applyFont="1" applyBorder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22" fillId="0" borderId="0" xfId="0" applyFont="1" applyAlignment="1"/>
    <xf numFmtId="0" fontId="8" fillId="8" borderId="7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42" fillId="0" borderId="0" xfId="0" applyFont="1" applyAlignment="1">
      <alignment vertical="top" wrapText="1"/>
    </xf>
    <xf numFmtId="0" fontId="2" fillId="0" borderId="24" xfId="4" applyFont="1" applyBorder="1" applyProtection="1"/>
    <xf numFmtId="0" fontId="7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6" fillId="0" borderId="0" xfId="0" applyFont="1" applyBorder="1"/>
    <xf numFmtId="0" fontId="44" fillId="0" borderId="0" xfId="0" applyFont="1" applyAlignment="1"/>
    <xf numFmtId="0" fontId="23" fillId="0" borderId="0" xfId="0" applyFont="1"/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Border="1" applyAlignment="1"/>
    <xf numFmtId="0" fontId="3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Protection="1"/>
    <xf numFmtId="49" fontId="30" fillId="0" borderId="0" xfId="1" applyNumberFormat="1" applyFont="1" applyFill="1" applyBorder="1" applyAlignment="1" applyProtection="1">
      <alignment horizontal="left" indent="1"/>
    </xf>
    <xf numFmtId="0" fontId="16" fillId="0" borderId="0" xfId="1" applyFont="1" applyProtection="1"/>
    <xf numFmtId="49" fontId="7" fillId="0" borderId="0" xfId="1" applyNumberFormat="1" applyFont="1" applyFill="1" applyBorder="1" applyAlignment="1" applyProtection="1">
      <alignment horizontal="left" indent="1"/>
    </xf>
    <xf numFmtId="0" fontId="16" fillId="0" borderId="0" xfId="1" applyFont="1" applyAlignment="1" applyProtection="1">
      <alignment horizontal="center"/>
    </xf>
    <xf numFmtId="0" fontId="1" fillId="0" borderId="9" xfId="1" applyFont="1" applyBorder="1" applyAlignment="1" applyProtection="1">
      <alignment horizontal="center" vertical="center" wrapText="1"/>
    </xf>
    <xf numFmtId="0" fontId="1" fillId="3" borderId="43" xfId="1" applyFont="1" applyFill="1" applyBorder="1" applyAlignment="1" applyProtection="1">
      <alignment horizontal="center" vertical="center" wrapText="1"/>
    </xf>
    <xf numFmtId="0" fontId="1" fillId="3" borderId="10" xfId="1" applyFont="1" applyFill="1" applyBorder="1" applyAlignment="1" applyProtection="1">
      <alignment horizontal="center" vertical="center" wrapText="1"/>
    </xf>
    <xf numFmtId="0" fontId="38" fillId="3" borderId="10" xfId="1" applyFont="1" applyFill="1" applyBorder="1" applyAlignment="1" applyProtection="1">
      <alignment horizontal="center" vertical="center" wrapText="1"/>
    </xf>
    <xf numFmtId="0" fontId="30" fillId="3" borderId="11" xfId="1" applyFont="1" applyFill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164" fontId="16" fillId="0" borderId="33" xfId="1" applyNumberFormat="1" applyFont="1" applyBorder="1" applyProtection="1"/>
    <xf numFmtId="164" fontId="16" fillId="0" borderId="41" xfId="1" applyNumberFormat="1" applyFont="1" applyBorder="1" applyProtection="1"/>
    <xf numFmtId="0" fontId="1" fillId="10" borderId="9" xfId="1" applyFont="1" applyFill="1" applyBorder="1" applyAlignment="1" applyProtection="1">
      <alignment horizontal="center"/>
    </xf>
    <xf numFmtId="0" fontId="7" fillId="0" borderId="43" xfId="1" applyFont="1" applyBorder="1" applyAlignment="1" applyProtection="1">
      <alignment horizontal="center"/>
    </xf>
    <xf numFmtId="0" fontId="1" fillId="10" borderId="10" xfId="1" applyFont="1" applyFill="1" applyBorder="1" applyAlignment="1" applyProtection="1">
      <alignment horizontal="center" vertical="center" wrapText="1"/>
    </xf>
    <xf numFmtId="0" fontId="7" fillId="0" borderId="10" xfId="1" applyFont="1" applyBorder="1" applyAlignment="1" applyProtection="1">
      <alignment horizontal="center"/>
    </xf>
    <xf numFmtId="164" fontId="7" fillId="0" borderId="10" xfId="1" applyNumberFormat="1" applyFont="1" applyBorder="1" applyAlignment="1" applyProtection="1">
      <alignment horizontal="right"/>
    </xf>
    <xf numFmtId="164" fontId="7" fillId="0" borderId="11" xfId="1" applyNumberFormat="1" applyFont="1" applyBorder="1" applyAlignment="1" applyProtection="1">
      <alignment horizontal="right"/>
    </xf>
    <xf numFmtId="0" fontId="1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right" vertical="center"/>
    </xf>
    <xf numFmtId="0" fontId="7" fillId="10" borderId="44" xfId="1" applyFont="1" applyFill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20" fillId="0" borderId="0" xfId="3" applyFont="1"/>
    <xf numFmtId="0" fontId="16" fillId="0" borderId="0" xfId="3"/>
    <xf numFmtId="0" fontId="32" fillId="0" borderId="0" xfId="3" applyFont="1"/>
    <xf numFmtId="0" fontId="20" fillId="0" borderId="0" xfId="3" applyFont="1" applyAlignment="1">
      <alignment vertical="top"/>
    </xf>
    <xf numFmtId="0" fontId="32" fillId="0" borderId="0" xfId="3" applyFont="1" applyAlignment="1">
      <alignment vertical="top" wrapText="1"/>
    </xf>
    <xf numFmtId="0" fontId="32" fillId="0" borderId="0" xfId="3" applyNumberFormat="1" applyFont="1"/>
    <xf numFmtId="0" fontId="0" fillId="0" borderId="45" xfId="0" applyBorder="1" applyAlignment="1" applyProtection="1"/>
    <xf numFmtId="0" fontId="7" fillId="0" borderId="0" xfId="0" applyFont="1" applyBorder="1" applyAlignment="1" applyProtection="1"/>
    <xf numFmtId="0" fontId="22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Protection="1"/>
    <xf numFmtId="1" fontId="16" fillId="11" borderId="33" xfId="1" applyNumberFormat="1" applyFont="1" applyFill="1" applyBorder="1" applyAlignment="1" applyProtection="1">
      <alignment horizontal="center"/>
      <protection locked="0"/>
    </xf>
    <xf numFmtId="1" fontId="16" fillId="11" borderId="7" xfId="1" applyNumberFormat="1" applyFont="1" applyFill="1" applyBorder="1" applyAlignment="1" applyProtection="1">
      <alignment horizontal="center"/>
      <protection locked="0"/>
    </xf>
    <xf numFmtId="0" fontId="16" fillId="11" borderId="47" xfId="1" applyFont="1" applyFill="1" applyBorder="1" applyAlignment="1" applyProtection="1">
      <alignment horizontal="center"/>
      <protection locked="0"/>
    </xf>
    <xf numFmtId="0" fontId="16" fillId="11" borderId="48" xfId="1" applyFont="1" applyFill="1" applyBorder="1" applyAlignment="1" applyProtection="1">
      <alignment horizontal="center"/>
      <protection locked="0"/>
    </xf>
    <xf numFmtId="0" fontId="13" fillId="0" borderId="70" xfId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49" fontId="7" fillId="0" borderId="0" xfId="1" applyNumberFormat="1" applyFont="1" applyFill="1" applyBorder="1" applyAlignment="1" applyProtection="1">
      <alignment horizontal="center"/>
    </xf>
    <xf numFmtId="1" fontId="16" fillId="11" borderId="33" xfId="1" applyNumberFormat="1" applyFont="1" applyFill="1" applyBorder="1" applyAlignment="1" applyProtection="1">
      <alignment horizontal="center" vertical="center"/>
      <protection locked="0"/>
    </xf>
    <xf numFmtId="164" fontId="16" fillId="0" borderId="33" xfId="1" applyNumberFormat="1" applyFont="1" applyBorder="1" applyAlignment="1" applyProtection="1">
      <alignment vertical="center"/>
    </xf>
    <xf numFmtId="164" fontId="16" fillId="0" borderId="41" xfId="1" applyNumberFormat="1" applyFont="1" applyBorder="1" applyAlignment="1" applyProtection="1">
      <alignment vertical="center"/>
    </xf>
    <xf numFmtId="0" fontId="16" fillId="0" borderId="7" xfId="1" applyFont="1" applyBorder="1" applyAlignment="1" applyProtection="1">
      <alignment vertical="center"/>
    </xf>
    <xf numFmtId="0" fontId="16" fillId="0" borderId="7" xfId="1" applyFont="1" applyBorder="1" applyAlignment="1" applyProtection="1">
      <alignment horizontal="center" vertical="center"/>
    </xf>
    <xf numFmtId="0" fontId="16" fillId="0" borderId="39" xfId="1" applyFont="1" applyBorder="1" applyAlignment="1" applyProtection="1">
      <alignment vertical="center"/>
    </xf>
    <xf numFmtId="0" fontId="16" fillId="0" borderId="39" xfId="1" applyFont="1" applyBorder="1" applyAlignment="1" applyProtection="1">
      <alignment horizontal="center" vertical="center"/>
    </xf>
    <xf numFmtId="0" fontId="16" fillId="0" borderId="47" xfId="1" applyFont="1" applyBorder="1" applyAlignment="1" applyProtection="1">
      <alignment vertical="center"/>
    </xf>
    <xf numFmtId="0" fontId="16" fillId="0" borderId="47" xfId="1" applyFont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" fillId="11" borderId="5" xfId="1" applyFont="1" applyFill="1" applyBorder="1" applyProtection="1">
      <protection locked="0"/>
    </xf>
    <xf numFmtId="0" fontId="3" fillId="11" borderId="6" xfId="1" applyFont="1" applyFill="1" applyBorder="1" applyProtection="1">
      <protection locked="0"/>
    </xf>
    <xf numFmtId="0" fontId="7" fillId="0" borderId="0" xfId="1" applyFont="1" applyBorder="1" applyAlignment="1" applyProtection="1">
      <alignment vertical="center" wrapText="1"/>
    </xf>
    <xf numFmtId="0" fontId="45" fillId="0" borderId="0" xfId="1" applyFont="1" applyFill="1" applyBorder="1" applyAlignment="1" applyProtection="1">
      <alignment horizontal="right" vertical="center"/>
    </xf>
    <xf numFmtId="0" fontId="45" fillId="0" borderId="0" xfId="1" applyFont="1" applyAlignment="1" applyProtection="1">
      <alignment horizontal="left" vertical="center"/>
    </xf>
    <xf numFmtId="0" fontId="22" fillId="0" borderId="0" xfId="1" applyFont="1" applyAlignment="1" applyProtection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20" fillId="2" borderId="50" xfId="0" applyFont="1" applyFill="1" applyBorder="1"/>
    <xf numFmtId="0" fontId="7" fillId="0" borderId="51" xfId="0" applyFont="1" applyFill="1" applyBorder="1" applyAlignment="1">
      <alignment horizontal="center"/>
    </xf>
    <xf numFmtId="0" fontId="20" fillId="0" borderId="21" xfId="0" applyFont="1" applyFill="1" applyBorder="1"/>
    <xf numFmtId="0" fontId="59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16" fillId="0" borderId="0" xfId="0" applyFont="1" applyFill="1" applyBorder="1" applyProtection="1"/>
    <xf numFmtId="0" fontId="50" fillId="0" borderId="0" xfId="1" applyFont="1" applyAlignment="1" applyProtection="1">
      <alignment horizontal="right"/>
    </xf>
    <xf numFmtId="0" fontId="3" fillId="11" borderId="8" xfId="1" applyFont="1" applyFill="1" applyBorder="1" applyAlignment="1" applyProtection="1">
      <alignment vertical="center"/>
      <protection locked="0"/>
    </xf>
    <xf numFmtId="0" fontId="16" fillId="0" borderId="33" xfId="1" applyFont="1" applyBorder="1" applyAlignment="1" applyProtection="1">
      <alignment vertical="center"/>
    </xf>
    <xf numFmtId="0" fontId="16" fillId="0" borderId="33" xfId="1" applyFont="1" applyBorder="1" applyAlignment="1" applyProtection="1">
      <alignment horizontal="center" vertical="center"/>
    </xf>
    <xf numFmtId="0" fontId="1" fillId="0" borderId="52" xfId="1" applyFont="1" applyFill="1" applyBorder="1" applyAlignment="1" applyProtection="1">
      <alignment horizontal="center" vertical="center" wrapText="1"/>
    </xf>
    <xf numFmtId="0" fontId="7" fillId="0" borderId="53" xfId="1" applyFont="1" applyFill="1" applyBorder="1" applyAlignment="1" applyProtection="1">
      <alignment horizontal="center" vertical="center" wrapText="1"/>
    </xf>
    <xf numFmtId="0" fontId="7" fillId="0" borderId="54" xfId="1" applyFont="1" applyFill="1" applyBorder="1" applyAlignment="1" applyProtection="1">
      <alignment horizontal="center" vertical="center" wrapText="1"/>
    </xf>
    <xf numFmtId="0" fontId="30" fillId="0" borderId="54" xfId="1" applyFont="1" applyFill="1" applyBorder="1" applyAlignment="1" applyProtection="1">
      <alignment horizontal="center" vertical="center" wrapText="1"/>
    </xf>
    <xf numFmtId="0" fontId="7" fillId="0" borderId="55" xfId="1" applyFont="1" applyFill="1" applyBorder="1" applyAlignment="1" applyProtection="1">
      <alignment horizontal="center" vertical="center" wrapText="1"/>
    </xf>
    <xf numFmtId="0" fontId="16" fillId="4" borderId="49" xfId="4" applyFont="1" applyFill="1" applyBorder="1" applyProtection="1">
      <protection locked="0"/>
    </xf>
    <xf numFmtId="0" fontId="16" fillId="4" borderId="50" xfId="4" applyFont="1" applyFill="1" applyBorder="1" applyProtection="1">
      <protection locked="0"/>
    </xf>
    <xf numFmtId="0" fontId="16" fillId="4" borderId="47" xfId="4" applyFont="1" applyFill="1" applyBorder="1" applyProtection="1">
      <protection locked="0"/>
    </xf>
    <xf numFmtId="0" fontId="23" fillId="0" borderId="0" xfId="0" applyFont="1" applyAlignment="1"/>
    <xf numFmtId="1" fontId="22" fillId="0" borderId="0" xfId="0" applyNumberFormat="1" applyFont="1" applyAlignment="1">
      <alignment vertical="center"/>
    </xf>
    <xf numFmtId="14" fontId="3" fillId="0" borderId="33" xfId="0" applyNumberFormat="1" applyFont="1" applyBorder="1" applyAlignment="1">
      <alignment horizontal="center"/>
    </xf>
    <xf numFmtId="3" fontId="48" fillId="12" borderId="54" xfId="1" applyNumberFormat="1" applyFont="1" applyFill="1" applyBorder="1" applyAlignment="1" applyProtection="1">
      <alignment horizontal="center" vertical="center" wrapText="1"/>
    </xf>
    <xf numFmtId="0" fontId="61" fillId="0" borderId="0" xfId="0" applyFont="1"/>
    <xf numFmtId="166" fontId="16" fillId="4" borderId="30" xfId="0" applyNumberFormat="1" applyFont="1" applyFill="1" applyBorder="1" applyAlignment="1" applyProtection="1">
      <alignment horizontal="left"/>
      <protection locked="0"/>
    </xf>
    <xf numFmtId="167" fontId="7" fillId="4" borderId="0" xfId="0" applyNumberFormat="1" applyFont="1" applyFill="1" applyAlignment="1" applyProtection="1">
      <alignment horizontal="left"/>
      <protection locked="0"/>
    </xf>
    <xf numFmtId="14" fontId="62" fillId="0" borderId="33" xfId="0" applyNumberFormat="1" applyFont="1" applyBorder="1" applyAlignment="1">
      <alignment horizontal="center"/>
    </xf>
    <xf numFmtId="14" fontId="62" fillId="0" borderId="7" xfId="0" applyNumberFormat="1" applyFont="1" applyBorder="1" applyAlignment="1">
      <alignment horizontal="center"/>
    </xf>
    <xf numFmtId="1" fontId="63" fillId="0" borderId="7" xfId="0" applyNumberFormat="1" applyFont="1" applyBorder="1" applyAlignment="1">
      <alignment horizontal="center"/>
    </xf>
    <xf numFmtId="0" fontId="16" fillId="13" borderId="3" xfId="4" applyFont="1" applyFill="1" applyBorder="1" applyProtection="1">
      <protection locked="0"/>
    </xf>
    <xf numFmtId="0" fontId="16" fillId="13" borderId="33" xfId="4" applyFont="1" applyFill="1" applyBorder="1" applyProtection="1">
      <protection locked="0"/>
    </xf>
    <xf numFmtId="0" fontId="16" fillId="13" borderId="12" xfId="4" applyFont="1" applyFill="1" applyBorder="1" applyProtection="1">
      <protection locked="0"/>
    </xf>
    <xf numFmtId="49" fontId="7" fillId="0" borderId="7" xfId="0" applyNumberFormat="1" applyFont="1" applyFill="1" applyBorder="1" applyAlignment="1" applyProtection="1">
      <alignment horizontal="left" indent="1"/>
    </xf>
    <xf numFmtId="0" fontId="56" fillId="0" borderId="70" xfId="1" applyFont="1" applyFill="1" applyBorder="1" applyAlignment="1" applyProtection="1">
      <alignment horizontal="center"/>
    </xf>
    <xf numFmtId="49" fontId="48" fillId="0" borderId="7" xfId="0" applyNumberFormat="1" applyFont="1" applyBorder="1" applyAlignment="1"/>
    <xf numFmtId="49" fontId="38" fillId="0" borderId="0" xfId="0" applyNumberFormat="1" applyFont="1" applyFill="1" applyBorder="1" applyAlignment="1" applyProtection="1"/>
    <xf numFmtId="164" fontId="65" fillId="14" borderId="7" xfId="0" applyNumberFormat="1" applyFont="1" applyFill="1" applyBorder="1" applyAlignment="1" applyProtection="1">
      <alignment horizontal="center"/>
      <protection locked="0"/>
    </xf>
    <xf numFmtId="14" fontId="1" fillId="0" borderId="56" xfId="4" applyNumberFormat="1" applyFont="1" applyFill="1" applyBorder="1" applyAlignment="1">
      <alignment horizontal="center"/>
    </xf>
    <xf numFmtId="14" fontId="1" fillId="0" borderId="13" xfId="4" applyNumberFormat="1" applyFont="1" applyBorder="1" applyAlignment="1">
      <alignment horizontal="center"/>
    </xf>
    <xf numFmtId="14" fontId="1" fillId="13" borderId="14" xfId="4" applyNumberFormat="1" applyFont="1" applyFill="1" applyBorder="1" applyAlignment="1">
      <alignment horizontal="center"/>
    </xf>
    <xf numFmtId="0" fontId="16" fillId="13" borderId="2" xfId="4" applyFont="1" applyFill="1" applyBorder="1" applyProtection="1">
      <protection locked="0"/>
    </xf>
    <xf numFmtId="0" fontId="16" fillId="13" borderId="57" xfId="4" applyFont="1" applyFill="1" applyBorder="1" applyProtection="1">
      <protection locked="0"/>
    </xf>
    <xf numFmtId="0" fontId="16" fillId="13" borderId="14" xfId="4" applyFont="1" applyFill="1" applyBorder="1" applyProtection="1">
      <protection locked="0"/>
    </xf>
    <xf numFmtId="14" fontId="1" fillId="13" borderId="13" xfId="4" applyNumberFormat="1" applyFont="1" applyFill="1" applyBorder="1" applyAlignment="1">
      <alignment horizontal="center"/>
    </xf>
    <xf numFmtId="14" fontId="1" fillId="13" borderId="56" xfId="4" applyNumberFormat="1" applyFont="1" applyFill="1" applyBorder="1" applyAlignment="1">
      <alignment horizontal="center"/>
    </xf>
    <xf numFmtId="14" fontId="1" fillId="0" borderId="13" xfId="4" applyNumberFormat="1" applyFont="1" applyFill="1" applyBorder="1" applyAlignment="1">
      <alignment horizontal="center"/>
    </xf>
    <xf numFmtId="0" fontId="16" fillId="11" borderId="49" xfId="4" applyFont="1" applyFill="1" applyBorder="1" applyProtection="1">
      <protection locked="0"/>
    </xf>
    <xf numFmtId="0" fontId="16" fillId="11" borderId="47" xfId="4" applyFont="1" applyFill="1" applyBorder="1" applyProtection="1">
      <protection locked="0"/>
    </xf>
    <xf numFmtId="0" fontId="16" fillId="11" borderId="50" xfId="4" applyFont="1" applyFill="1" applyBorder="1" applyProtection="1">
      <protection locked="0"/>
    </xf>
    <xf numFmtId="0" fontId="16" fillId="11" borderId="3" xfId="4" applyFont="1" applyFill="1" applyBorder="1" applyProtection="1">
      <protection locked="0"/>
    </xf>
    <xf numFmtId="0" fontId="16" fillId="11" borderId="33" xfId="4" applyFont="1" applyFill="1" applyBorder="1" applyProtection="1">
      <protection locked="0"/>
    </xf>
    <xf numFmtId="0" fontId="16" fillId="11" borderId="12" xfId="4" applyFont="1" applyFill="1" applyBorder="1" applyProtection="1">
      <protection locked="0"/>
    </xf>
    <xf numFmtId="0" fontId="16" fillId="11" borderId="1" xfId="4" applyFont="1" applyFill="1" applyBorder="1" applyProtection="1">
      <protection locked="0"/>
    </xf>
    <xf numFmtId="0" fontId="16" fillId="11" borderId="7" xfId="4" applyFont="1" applyFill="1" applyBorder="1" applyProtection="1">
      <protection locked="0"/>
    </xf>
    <xf numFmtId="0" fontId="16" fillId="11" borderId="13" xfId="4" applyFont="1" applyFill="1" applyBorder="1" applyProtection="1">
      <protection locked="0"/>
    </xf>
    <xf numFmtId="0" fontId="7" fillId="0" borderId="3" xfId="4" applyFont="1" applyFill="1" applyBorder="1" applyProtection="1"/>
    <xf numFmtId="1" fontId="0" fillId="11" borderId="7" xfId="0" applyNumberFormat="1" applyFill="1" applyBorder="1" applyAlignment="1" applyProtection="1">
      <alignment horizontal="center" vertical="center"/>
      <protection locked="0"/>
    </xf>
    <xf numFmtId="0" fontId="17" fillId="0" borderId="71" xfId="0" applyFont="1" applyBorder="1" applyAlignment="1" applyProtection="1">
      <alignment horizontal="center" vertical="center" wrapText="1"/>
    </xf>
    <xf numFmtId="0" fontId="17" fillId="0" borderId="42" xfId="0" applyFont="1" applyBorder="1" applyAlignment="1" applyProtection="1">
      <alignment horizontal="center" vertical="center" wrapText="1"/>
    </xf>
    <xf numFmtId="0" fontId="17" fillId="0" borderId="72" xfId="0" applyFont="1" applyBorder="1" applyAlignment="1" applyProtection="1">
      <alignment horizontal="center" vertical="center" wrapText="1"/>
    </xf>
    <xf numFmtId="0" fontId="9" fillId="8" borderId="11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32" fillId="0" borderId="38" xfId="0" applyFont="1" applyBorder="1" applyAlignment="1" applyProtection="1">
      <alignment horizontal="center" vertical="center" wrapText="1"/>
    </xf>
    <xf numFmtId="0" fontId="32" fillId="0" borderId="7" xfId="0" applyFont="1" applyBorder="1" applyAlignment="1" applyProtection="1">
      <alignment horizontal="center" vertical="center" wrapText="1"/>
    </xf>
    <xf numFmtId="0" fontId="32" fillId="0" borderId="39" xfId="0" applyFont="1" applyBorder="1" applyAlignment="1" applyProtection="1">
      <alignment horizontal="center" vertical="center" wrapText="1"/>
    </xf>
    <xf numFmtId="1" fontId="0" fillId="0" borderId="7" xfId="0" applyNumberFormat="1" applyFill="1" applyBorder="1" applyAlignment="1" applyProtection="1">
      <alignment horizontal="center" vertical="center"/>
    </xf>
    <xf numFmtId="0" fontId="16" fillId="13" borderId="49" xfId="4" applyFont="1" applyFill="1" applyBorder="1" applyProtection="1">
      <protection locked="0"/>
    </xf>
    <xf numFmtId="0" fontId="16" fillId="13" borderId="47" xfId="4" applyFont="1" applyFill="1" applyBorder="1" applyProtection="1">
      <protection locked="0"/>
    </xf>
    <xf numFmtId="0" fontId="16" fillId="13" borderId="50" xfId="4" applyFont="1" applyFill="1" applyBorder="1" applyProtection="1">
      <protection locked="0"/>
    </xf>
    <xf numFmtId="1" fontId="16" fillId="0" borderId="0" xfId="0" applyNumberFormat="1" applyFont="1" applyAlignment="1">
      <alignment horizontal="right"/>
    </xf>
    <xf numFmtId="0" fontId="16" fillId="13" borderId="1" xfId="4" applyFont="1" applyFill="1" applyBorder="1" applyProtection="1">
      <protection locked="0"/>
    </xf>
    <xf numFmtId="0" fontId="16" fillId="13" borderId="7" xfId="4" applyFont="1" applyFill="1" applyBorder="1" applyProtection="1">
      <protection locked="0"/>
    </xf>
    <xf numFmtId="0" fontId="16" fillId="13" borderId="13" xfId="4" applyFont="1" applyFill="1" applyBorder="1" applyProtection="1">
      <protection locked="0"/>
    </xf>
    <xf numFmtId="0" fontId="16" fillId="11" borderId="2" xfId="4" applyFont="1" applyFill="1" applyBorder="1" applyProtection="1">
      <protection locked="0"/>
    </xf>
    <xf numFmtId="0" fontId="16" fillId="11" borderId="57" xfId="4" applyFont="1" applyFill="1" applyBorder="1" applyProtection="1">
      <protection locked="0"/>
    </xf>
    <xf numFmtId="0" fontId="16" fillId="11" borderId="14" xfId="4" applyFont="1" applyFill="1" applyBorder="1" applyProtection="1">
      <protection locked="0"/>
    </xf>
    <xf numFmtId="14" fontId="1" fillId="0" borderId="14" xfId="4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61" fillId="0" borderId="0" xfId="0" applyFont="1" applyAlignment="1">
      <alignment horizontal="center" vertical="center"/>
    </xf>
    <xf numFmtId="0" fontId="40" fillId="0" borderId="27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15" borderId="51" xfId="0" applyFont="1" applyFill="1" applyBorder="1" applyAlignment="1">
      <alignment horizontal="center" wrapText="1"/>
    </xf>
    <xf numFmtId="0" fontId="67" fillId="15" borderId="21" xfId="0" applyFont="1" applyFill="1" applyBorder="1" applyAlignment="1">
      <alignment horizontal="center" wrapText="1"/>
    </xf>
    <xf numFmtId="0" fontId="67" fillId="15" borderId="58" xfId="0" applyFont="1" applyFill="1" applyBorder="1" applyAlignment="1">
      <alignment horizontal="center" wrapText="1"/>
    </xf>
    <xf numFmtId="0" fontId="67" fillId="15" borderId="59" xfId="0" applyFont="1" applyFill="1" applyBorder="1" applyAlignment="1">
      <alignment horizontal="center" wrapText="1"/>
    </xf>
    <xf numFmtId="0" fontId="67" fillId="15" borderId="0" xfId="0" applyFont="1" applyFill="1" applyBorder="1" applyAlignment="1">
      <alignment horizontal="center" wrapText="1"/>
    </xf>
    <xf numFmtId="0" fontId="67" fillId="15" borderId="60" xfId="0" applyFont="1" applyFill="1" applyBorder="1" applyAlignment="1">
      <alignment horizontal="center" wrapText="1"/>
    </xf>
    <xf numFmtId="0" fontId="67" fillId="15" borderId="61" xfId="0" applyFont="1" applyFill="1" applyBorder="1" applyAlignment="1">
      <alignment horizontal="center" wrapText="1"/>
    </xf>
    <xf numFmtId="0" fontId="67" fillId="15" borderId="62" xfId="0" applyFont="1" applyFill="1" applyBorder="1" applyAlignment="1">
      <alignment horizontal="center" wrapText="1"/>
    </xf>
    <xf numFmtId="0" fontId="67" fillId="15" borderId="63" xfId="0" applyFont="1" applyFill="1" applyBorder="1" applyAlignment="1">
      <alignment horizontal="center" wrapText="1"/>
    </xf>
    <xf numFmtId="49" fontId="21" fillId="4" borderId="7" xfId="0" applyNumberFormat="1" applyFont="1" applyFill="1" applyBorder="1" applyAlignment="1" applyProtection="1">
      <alignment horizontal="left" vertical="center" indent="1"/>
      <protection locked="0"/>
    </xf>
    <xf numFmtId="0" fontId="15" fillId="8" borderId="35" xfId="0" applyFont="1" applyFill="1" applyBorder="1" applyAlignment="1">
      <alignment horizontal="center" vertical="center"/>
    </xf>
    <xf numFmtId="0" fontId="15" fillId="8" borderId="64" xfId="0" applyFont="1" applyFill="1" applyBorder="1" applyAlignment="1">
      <alignment horizontal="center" vertical="center"/>
    </xf>
    <xf numFmtId="0" fontId="15" fillId="8" borderId="65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49" fontId="7" fillId="4" borderId="35" xfId="0" applyNumberFormat="1" applyFont="1" applyFill="1" applyBorder="1" applyAlignment="1" applyProtection="1">
      <alignment horizontal="left" indent="1"/>
      <protection locked="0"/>
    </xf>
    <xf numFmtId="0" fontId="0" fillId="0" borderId="64" xfId="0" applyBorder="1" applyAlignment="1" applyProtection="1">
      <alignment horizontal="left" indent="1"/>
      <protection locked="0"/>
    </xf>
    <xf numFmtId="0" fontId="0" fillId="0" borderId="65" xfId="0" applyBorder="1" applyAlignment="1" applyProtection="1">
      <alignment horizontal="left" indent="1"/>
      <protection locked="0"/>
    </xf>
    <xf numFmtId="49" fontId="7" fillId="4" borderId="65" xfId="0" applyNumberFormat="1" applyFont="1" applyFill="1" applyBorder="1" applyAlignment="1" applyProtection="1">
      <alignment horizontal="left" indent="1"/>
      <protection locked="0"/>
    </xf>
    <xf numFmtId="0" fontId="13" fillId="7" borderId="66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13" fillId="7" borderId="6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7" fillId="4" borderId="45" xfId="0" applyNumberFormat="1" applyFont="1" applyFill="1" applyBorder="1" applyAlignment="1" applyProtection="1">
      <alignment horizontal="left" indent="1"/>
      <protection locked="0"/>
    </xf>
    <xf numFmtId="0" fontId="0" fillId="0" borderId="46" xfId="0" applyBorder="1" applyAlignment="1" applyProtection="1">
      <alignment horizontal="left" indent="1"/>
      <protection locked="0"/>
    </xf>
    <xf numFmtId="49" fontId="28" fillId="0" borderId="27" xfId="4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49" fontId="33" fillId="0" borderId="40" xfId="0" applyNumberFormat="1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9" fontId="16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46" fillId="0" borderId="68" xfId="0" applyFont="1" applyBorder="1" applyAlignment="1">
      <alignment horizontal="center" vertical="center" wrapText="1"/>
    </xf>
    <xf numFmtId="0" fontId="46" fillId="0" borderId="69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49" fontId="1" fillId="0" borderId="15" xfId="4" applyNumberFormat="1" applyFont="1" applyBorder="1" applyAlignment="1">
      <alignment horizontal="center"/>
    </xf>
    <xf numFmtId="49" fontId="1" fillId="2" borderId="15" xfId="4" applyNumberFormat="1" applyFont="1" applyFill="1" applyBorder="1" applyAlignment="1">
      <alignment horizontal="center" wrapText="1"/>
    </xf>
    <xf numFmtId="49" fontId="25" fillId="2" borderId="15" xfId="4" applyNumberFormat="1" applyFont="1" applyFill="1" applyBorder="1" applyAlignment="1">
      <alignment horizontal="center" vertical="center" wrapText="1"/>
    </xf>
    <xf numFmtId="1" fontId="1" fillId="0" borderId="51" xfId="4" applyNumberFormat="1" applyFont="1" applyFill="1" applyBorder="1" applyAlignment="1">
      <alignment horizontal="center" vertical="center"/>
    </xf>
    <xf numFmtId="1" fontId="1" fillId="0" borderId="59" xfId="4" applyNumberFormat="1" applyFont="1" applyFill="1" applyBorder="1" applyAlignment="1">
      <alignment horizontal="center" vertical="center"/>
    </xf>
    <xf numFmtId="1" fontId="1" fillId="0" borderId="61" xfId="4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49" fontId="1" fillId="2" borderId="68" xfId="4" applyNumberFormat="1" applyFont="1" applyFill="1" applyBorder="1" applyAlignment="1">
      <alignment horizontal="center" wrapText="1"/>
    </xf>
    <xf numFmtId="49" fontId="1" fillId="2" borderId="19" xfId="4" applyNumberFormat="1" applyFont="1" applyFill="1" applyBorder="1" applyAlignment="1">
      <alignment horizontal="center" wrapText="1"/>
    </xf>
    <xf numFmtId="49" fontId="1" fillId="6" borderId="68" xfId="4" applyNumberFormat="1" applyFont="1" applyFill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3" fillId="0" borderId="7" xfId="0" applyFont="1" applyFill="1" applyBorder="1" applyAlignment="1"/>
    <xf numFmtId="0" fontId="30" fillId="0" borderId="35" xfId="0" applyFont="1" applyBorder="1" applyAlignment="1"/>
    <xf numFmtId="0" fontId="30" fillId="0" borderId="64" xfId="0" applyFont="1" applyBorder="1" applyAlignment="1"/>
    <xf numFmtId="0" fontId="30" fillId="0" borderId="65" xfId="0" applyFont="1" applyBorder="1" applyAlignment="1"/>
    <xf numFmtId="0" fontId="23" fillId="0" borderId="7" xfId="0" applyFont="1" applyFill="1" applyBorder="1" applyAlignment="1"/>
    <xf numFmtId="49" fontId="16" fillId="0" borderId="7" xfId="0" applyNumberFormat="1" applyFont="1" applyBorder="1" applyAlignment="1"/>
    <xf numFmtId="0" fontId="16" fillId="0" borderId="7" xfId="0" applyFont="1" applyBorder="1" applyAlignment="1"/>
    <xf numFmtId="0" fontId="7" fillId="0" borderId="35" xfId="0" applyFont="1" applyBorder="1" applyAlignment="1"/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0" xfId="0" applyFont="1" applyAlignment="1">
      <alignment horizontal="center"/>
    </xf>
    <xf numFmtId="49" fontId="16" fillId="0" borderId="35" xfId="0" applyNumberFormat="1" applyFont="1" applyBorder="1" applyAlignment="1"/>
    <xf numFmtId="0" fontId="0" fillId="0" borderId="64" xfId="0" applyBorder="1" applyAlignment="1"/>
    <xf numFmtId="0" fontId="0" fillId="0" borderId="65" xfId="0" applyBorder="1" applyAlignment="1"/>
    <xf numFmtId="0" fontId="44" fillId="0" borderId="0" xfId="0" applyFont="1" applyAlignment="1">
      <alignment horizontal="right" indent="1"/>
    </xf>
    <xf numFmtId="49" fontId="13" fillId="0" borderId="0" xfId="0" applyNumberFormat="1" applyFont="1" applyFill="1" applyBorder="1" applyAlignment="1" applyProtection="1">
      <alignment horizontal="left" indent="1"/>
    </xf>
    <xf numFmtId="0" fontId="51" fillId="0" borderId="0" xfId="0" applyFont="1" applyAlignment="1">
      <alignment horizontal="center"/>
    </xf>
    <xf numFmtId="1" fontId="49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3" fillId="14" borderId="30" xfId="0" applyNumberFormat="1" applyFont="1" applyFill="1" applyBorder="1" applyAlignment="1" applyProtection="1">
      <alignment horizontal="left" indent="1"/>
      <protection locked="0"/>
    </xf>
    <xf numFmtId="49" fontId="7" fillId="0" borderId="0" xfId="0" applyNumberFormat="1" applyFont="1" applyFill="1" applyBorder="1" applyAlignment="1" applyProtection="1">
      <alignment horizontal="left"/>
    </xf>
    <xf numFmtId="1" fontId="1" fillId="13" borderId="51" xfId="4" applyNumberFormat="1" applyFont="1" applyFill="1" applyBorder="1" applyAlignment="1">
      <alignment horizontal="center" vertical="center" wrapText="1"/>
    </xf>
    <xf numFmtId="1" fontId="1" fillId="13" borderId="59" xfId="4" applyNumberFormat="1" applyFont="1" applyFill="1" applyBorder="1" applyAlignment="1">
      <alignment horizontal="center" vertical="center" wrapText="1"/>
    </xf>
    <xf numFmtId="1" fontId="1" fillId="13" borderId="61" xfId="4" applyNumberFormat="1" applyFont="1" applyFill="1" applyBorder="1" applyAlignment="1">
      <alignment horizontal="center" vertical="center" wrapText="1"/>
    </xf>
    <xf numFmtId="0" fontId="26" fillId="0" borderId="7" xfId="0" applyFont="1" applyBorder="1" applyAlignment="1" applyProtection="1">
      <alignment horizontal="left" vertical="center" wrapText="1"/>
    </xf>
    <xf numFmtId="0" fontId="26" fillId="0" borderId="39" xfId="0" applyFont="1" applyBorder="1" applyAlignment="1" applyProtection="1">
      <alignment horizontal="left" vertical="center" wrapText="1"/>
    </xf>
    <xf numFmtId="49" fontId="30" fillId="0" borderId="0" xfId="0" applyNumberFormat="1" applyFont="1" applyFill="1" applyBorder="1" applyAlignment="1" applyProtection="1"/>
    <xf numFmtId="0" fontId="16" fillId="0" borderId="0" xfId="0" applyFont="1" applyAlignment="1" applyProtection="1"/>
    <xf numFmtId="0" fontId="51" fillId="0" borderId="0" xfId="0" applyFont="1" applyAlignment="1" applyProtection="1">
      <alignment horizontal="left" vertical="center"/>
    </xf>
    <xf numFmtId="1" fontId="51" fillId="0" borderId="0" xfId="0" applyNumberFormat="1" applyFont="1" applyAlignment="1" applyProtection="1">
      <alignment horizontal="right" vertical="center"/>
    </xf>
    <xf numFmtId="0" fontId="51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30" fillId="0" borderId="28" xfId="0" applyFont="1" applyBorder="1" applyAlignment="1" applyProtection="1">
      <alignment horizontal="justify" vertical="top" wrapText="1"/>
    </xf>
    <xf numFmtId="0" fontId="30" fillId="0" borderId="22" xfId="0" applyFont="1" applyBorder="1" applyAlignment="1" applyProtection="1">
      <alignment horizontal="justify" vertical="top" wrapText="1"/>
    </xf>
    <xf numFmtId="0" fontId="30" fillId="0" borderId="23" xfId="0" applyFont="1" applyBorder="1" applyAlignment="1" applyProtection="1">
      <alignment horizontal="justify" vertical="top" wrapText="1"/>
    </xf>
    <xf numFmtId="0" fontId="30" fillId="0" borderId="29" xfId="0" applyFont="1" applyBorder="1" applyAlignment="1" applyProtection="1">
      <alignment horizontal="justify"/>
    </xf>
    <xf numFmtId="0" fontId="30" fillId="0" borderId="25" xfId="0" applyFont="1" applyBorder="1" applyAlignment="1" applyProtection="1"/>
    <xf numFmtId="0" fontId="30" fillId="0" borderId="26" xfId="0" applyFont="1" applyBorder="1" applyAlignment="1" applyProtection="1"/>
    <xf numFmtId="0" fontId="2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9" fillId="8" borderId="10" xfId="0" applyFont="1" applyFill="1" applyBorder="1" applyAlignment="1" applyProtection="1">
      <alignment horizontal="center" vertical="center" wrapText="1"/>
    </xf>
    <xf numFmtId="0" fontId="26" fillId="0" borderId="38" xfId="0" applyFont="1" applyBorder="1" applyAlignment="1" applyProtection="1">
      <alignment horizontal="left" vertical="center" wrapText="1"/>
    </xf>
    <xf numFmtId="0" fontId="3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44" fillId="0" borderId="0" xfId="0" applyFont="1" applyAlignment="1">
      <alignment horizontal="left" vertical="top"/>
    </xf>
    <xf numFmtId="0" fontId="22" fillId="0" borderId="0" xfId="0" applyFont="1" applyAlignment="1" applyProtection="1">
      <alignment horizontal="left" vertical="center"/>
    </xf>
    <xf numFmtId="1" fontId="22" fillId="0" borderId="0" xfId="0" applyNumberFormat="1" applyFont="1" applyAlignment="1" applyProtection="1">
      <alignment horizontal="right" vertical="center"/>
    </xf>
    <xf numFmtId="0" fontId="22" fillId="0" borderId="0" xfId="0" applyFont="1" applyAlignment="1" applyProtection="1">
      <alignment horizontal="right" vertical="center"/>
    </xf>
    <xf numFmtId="0" fontId="33" fillId="0" borderId="0" xfId="0" applyFont="1" applyAlignment="1">
      <alignment horizontal="right" wrapText="1"/>
    </xf>
    <xf numFmtId="0" fontId="33" fillId="0" borderId="0" xfId="0" applyFont="1" applyAlignment="1">
      <alignment horizontal="left" wrapText="1" inden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16" fillId="0" borderId="0" xfId="0" applyFont="1" applyAlignment="1"/>
    <xf numFmtId="0" fontId="42" fillId="0" borderId="0" xfId="0" applyFont="1" applyAlignment="1">
      <alignment horizontal="justify" vertical="top" wrapText="1"/>
    </xf>
    <xf numFmtId="0" fontId="22" fillId="0" borderId="51" xfId="1" applyFont="1" applyBorder="1" applyAlignment="1" applyProtection="1">
      <alignment horizontal="center" vertical="center" wrapText="1"/>
    </xf>
    <xf numFmtId="0" fontId="22" fillId="0" borderId="21" xfId="1" applyFont="1" applyBorder="1" applyAlignment="1" applyProtection="1">
      <alignment horizontal="center" vertical="center" wrapText="1"/>
    </xf>
    <xf numFmtId="0" fontId="22" fillId="0" borderId="58" xfId="1" applyFont="1" applyBorder="1" applyAlignment="1" applyProtection="1">
      <alignment horizontal="center" vertical="center" wrapText="1"/>
    </xf>
    <xf numFmtId="0" fontId="22" fillId="0" borderId="59" xfId="1" applyFont="1" applyBorder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22" fillId="0" borderId="60" xfId="1" applyFont="1" applyBorder="1" applyAlignment="1" applyProtection="1">
      <alignment horizontal="center" vertical="center" wrapText="1"/>
    </xf>
    <xf numFmtId="0" fontId="22" fillId="0" borderId="61" xfId="1" applyFont="1" applyBorder="1" applyAlignment="1" applyProtection="1">
      <alignment horizontal="center" vertical="center" wrapText="1"/>
    </xf>
    <xf numFmtId="0" fontId="22" fillId="0" borderId="62" xfId="1" applyFont="1" applyBorder="1" applyAlignment="1" applyProtection="1">
      <alignment horizontal="center" vertical="center" wrapText="1"/>
    </xf>
    <xf numFmtId="0" fontId="22" fillId="0" borderId="63" xfId="1" applyFont="1" applyBorder="1" applyAlignment="1" applyProtection="1">
      <alignment horizontal="center" vertical="center" wrapText="1"/>
    </xf>
    <xf numFmtId="49" fontId="7" fillId="11" borderId="0" xfId="1" applyNumberFormat="1" applyFont="1" applyFill="1" applyBorder="1" applyAlignment="1" applyProtection="1">
      <alignment horizontal="left" vertical="center" indent="1"/>
      <protection locked="0"/>
    </xf>
    <xf numFmtId="0" fontId="16" fillId="0" borderId="0" xfId="1" applyFont="1" applyAlignment="1" applyProtection="1">
      <alignment horizontal="center"/>
    </xf>
    <xf numFmtId="0" fontId="16" fillId="0" borderId="30" xfId="1" applyFont="1" applyBorder="1" applyAlignment="1" applyProtection="1">
      <alignment horizontal="center"/>
    </xf>
    <xf numFmtId="49" fontId="30" fillId="0" borderId="0" xfId="1" applyNumberFormat="1" applyFont="1" applyFill="1" applyBorder="1" applyAlignment="1" applyProtection="1">
      <alignment horizontal="right"/>
    </xf>
    <xf numFmtId="0" fontId="13" fillId="0" borderId="7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49" fontId="1" fillId="0" borderId="0" xfId="1" applyNumberFormat="1" applyFont="1" applyFill="1" applyBorder="1" applyAlignment="1" applyProtection="1">
      <alignment horizontal="center"/>
    </xf>
    <xf numFmtId="0" fontId="43" fillId="0" borderId="0" xfId="1" applyFont="1" applyAlignment="1" applyProtection="1">
      <alignment horizontal="left" vertical="center"/>
    </xf>
    <xf numFmtId="0" fontId="43" fillId="0" borderId="0" xfId="1" applyFont="1" applyAlignment="1" applyProtection="1">
      <alignment horizontal="right" vertical="center"/>
    </xf>
    <xf numFmtId="0" fontId="30" fillId="0" borderId="40" xfId="1" applyFont="1" applyBorder="1" applyAlignment="1" applyProtection="1">
      <alignment horizontal="center"/>
    </xf>
    <xf numFmtId="0" fontId="32" fillId="0" borderId="40" xfId="1" applyFont="1" applyBorder="1" applyAlignment="1" applyProtection="1">
      <alignment horizontal="center"/>
    </xf>
    <xf numFmtId="0" fontId="57" fillId="0" borderId="0" xfId="1" applyFont="1" applyFill="1" applyBorder="1" applyAlignment="1" applyProtection="1">
      <alignment horizontal="center" vertical="center"/>
    </xf>
    <xf numFmtId="0" fontId="23" fillId="0" borderId="0" xfId="1" applyFont="1" applyAlignment="1" applyProtection="1">
      <alignment horizontal="left" vertical="center"/>
    </xf>
    <xf numFmtId="167" fontId="7" fillId="11" borderId="0" xfId="1" applyNumberFormat="1" applyFont="1" applyFill="1" applyBorder="1" applyAlignment="1" applyProtection="1">
      <alignment horizontal="center"/>
      <protection locked="0"/>
    </xf>
    <xf numFmtId="0" fontId="43" fillId="0" borderId="0" xfId="1" applyFont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right" vertical="center"/>
    </xf>
    <xf numFmtId="0" fontId="3" fillId="0" borderId="0" xfId="3" applyFont="1" applyFill="1" applyAlignment="1">
      <alignment horizontal="justify" vertical="top" wrapText="1"/>
    </xf>
    <xf numFmtId="0" fontId="30" fillId="0" borderId="0" xfId="3" applyFont="1" applyAlignment="1">
      <alignment horizontal="left" vertical="top" wrapText="1" indent="1"/>
    </xf>
    <xf numFmtId="0" fontId="44" fillId="0" borderId="0" xfId="3" applyFont="1" applyFill="1" applyAlignment="1">
      <alignment horizontal="justify" vertical="top" wrapText="1"/>
    </xf>
    <xf numFmtId="0" fontId="30" fillId="0" borderId="0" xfId="3" applyFont="1" applyAlignment="1">
      <alignment horizontal="right" vertical="top" wrapText="1"/>
    </xf>
    <xf numFmtId="0" fontId="7" fillId="0" borderId="0" xfId="3" applyFont="1" applyAlignment="1">
      <alignment horizontal="center" vertical="center"/>
    </xf>
    <xf numFmtId="0" fontId="16" fillId="0" borderId="0" xfId="3" applyFont="1" applyAlignment="1"/>
    <xf numFmtId="0" fontId="30" fillId="0" borderId="0" xfId="3" applyFont="1" applyAlignment="1">
      <alignment horizontal="center" vertical="center"/>
    </xf>
    <xf numFmtId="0" fontId="32" fillId="0" borderId="0" xfId="3" applyFont="1" applyAlignment="1"/>
    <xf numFmtId="0" fontId="68" fillId="0" borderId="0" xfId="3" applyFont="1" applyAlignment="1">
      <alignment horizontal="center" vertical="top" wrapText="1"/>
    </xf>
    <xf numFmtId="0" fontId="44" fillId="0" borderId="0" xfId="3" applyFont="1" applyAlignment="1">
      <alignment horizontal="center" vertical="top"/>
    </xf>
    <xf numFmtId="0" fontId="20" fillId="0" borderId="0" xfId="3" applyFont="1" applyAlignment="1">
      <alignment horizontal="center" wrapText="1"/>
    </xf>
  </cellXfs>
  <cellStyles count="5">
    <cellStyle name="Normál" xfId="0" builtinId="0"/>
    <cellStyle name="Normál 2" xfId="1" xr:uid="{00000000-0005-0000-0000-000001000000}"/>
    <cellStyle name="Normál 2 2" xfId="2" xr:uid="{00000000-0005-0000-0000-000002000000}"/>
    <cellStyle name="Normál 3" xfId="3" xr:uid="{00000000-0005-0000-0000-000003000000}"/>
    <cellStyle name="Normál_AOK Iny.oraj. 2008_I" xfId="4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253999</xdr:colOff>
      <xdr:row>4</xdr:row>
      <xdr:rowOff>142876</xdr:rowOff>
    </xdr:from>
    <xdr:to>
      <xdr:col>4</xdr:col>
      <xdr:colOff>7937</xdr:colOff>
      <xdr:row>5</xdr:row>
      <xdr:rowOff>79375</xdr:rowOff>
    </xdr:to>
    <xdr:cxnSp macro="">
      <xdr:nvCxnSpPr>
        <xdr:cNvPr id="3" name="Egyenes összekötő nyíllal 2">
          <a:extLst>
            <a:ext uri="{FF2B5EF4-FFF2-40B4-BE49-F238E27FC236}">
              <a16:creationId xmlns:a16="http://schemas.microsoft.com/office/drawing/2014/main" id="{E8CC416B-AD2C-7C86-C8E6-43D643B29B36}"/>
            </a:ext>
          </a:extLst>
        </xdr:cNvPr>
        <xdr:cNvCxnSpPr/>
      </xdr:nvCxnSpPr>
      <xdr:spPr>
        <a:xfrm flipH="1" flipV="1">
          <a:off x="3690937" y="960439"/>
          <a:ext cx="674688" cy="13493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indexed="10"/>
    <pageSetUpPr fitToPage="1"/>
  </sheetPr>
  <dimension ref="A1:J25"/>
  <sheetViews>
    <sheetView showGridLines="0" tabSelected="1" view="pageBreakPreview" zoomScale="120" zoomScaleNormal="90" workbookViewId="0">
      <selection activeCell="C5" sqref="C5"/>
    </sheetView>
  </sheetViews>
  <sheetFormatPr defaultRowHeight="15" x14ac:dyDescent="0.2"/>
  <cols>
    <col min="1" max="1" width="3.44140625" customWidth="1"/>
    <col min="2" max="2" width="25.88671875" customWidth="1"/>
    <col min="3" max="5" width="10.77734375" customWidth="1"/>
    <col min="6" max="6" width="12.88671875" customWidth="1"/>
    <col min="7" max="7" width="10.77734375" customWidth="1"/>
  </cols>
  <sheetData>
    <row r="1" spans="1:10" ht="18" x14ac:dyDescent="0.25">
      <c r="B1" s="327" t="s">
        <v>136</v>
      </c>
      <c r="C1" s="327"/>
      <c r="D1" s="327"/>
      <c r="E1" s="327"/>
      <c r="F1" s="165"/>
      <c r="G1" s="165"/>
    </row>
    <row r="2" spans="1:10" x14ac:dyDescent="0.2">
      <c r="B2" s="328" t="s">
        <v>164</v>
      </c>
      <c r="C2" s="328"/>
      <c r="D2" s="328"/>
      <c r="E2" s="328"/>
      <c r="F2" s="264"/>
      <c r="G2" s="264"/>
      <c r="H2" s="33"/>
      <c r="I2" s="33"/>
      <c r="J2" s="1"/>
    </row>
    <row r="4" spans="1:10" ht="16.5" thickBot="1" x14ac:dyDescent="0.3">
      <c r="A4" s="9" t="s">
        <v>23</v>
      </c>
      <c r="B4" s="9" t="s">
        <v>97</v>
      </c>
    </row>
    <row r="5" spans="1:10" ht="15.75" customHeight="1" thickTop="1" x14ac:dyDescent="0.25">
      <c r="A5" s="9"/>
      <c r="B5" s="12" t="s">
        <v>98</v>
      </c>
      <c r="C5" s="281" t="s">
        <v>96</v>
      </c>
      <c r="D5" s="268" t="str">
        <f>IF(C5="","",IF(OR(C5=C24,C5=C25),"","nem jó, nézd meg a 25.-26. sort!"))</f>
        <v/>
      </c>
      <c r="E5" s="329" t="s">
        <v>142</v>
      </c>
      <c r="F5" s="330"/>
      <c r="G5" s="331"/>
    </row>
    <row r="6" spans="1:10" ht="15.75" x14ac:dyDescent="0.25">
      <c r="A6" s="9"/>
      <c r="B6" s="12" t="s">
        <v>99</v>
      </c>
      <c r="C6" s="273">
        <v>2025</v>
      </c>
      <c r="E6" s="332"/>
      <c r="F6" s="333"/>
      <c r="G6" s="334"/>
    </row>
    <row r="7" spans="1:10" ht="15.75" thickBot="1" x14ac:dyDescent="0.25">
      <c r="E7" s="335"/>
      <c r="F7" s="336"/>
      <c r="G7" s="337"/>
    </row>
    <row r="8" spans="1:10" ht="15.75" thickTop="1" x14ac:dyDescent="0.2"/>
    <row r="9" spans="1:10" ht="15.75" x14ac:dyDescent="0.25">
      <c r="A9" s="9" t="s">
        <v>24</v>
      </c>
      <c r="B9" s="9" t="s">
        <v>138</v>
      </c>
    </row>
    <row r="10" spans="1:10" ht="15.75" thickBot="1" x14ac:dyDescent="0.25"/>
    <row r="11" spans="1:10" x14ac:dyDescent="0.2">
      <c r="B11" s="11" t="s">
        <v>5</v>
      </c>
      <c r="C11" s="76" t="s">
        <v>133</v>
      </c>
      <c r="D11" s="80"/>
    </row>
    <row r="12" spans="1:10" x14ac:dyDescent="0.2">
      <c r="B12" s="12" t="s">
        <v>132</v>
      </c>
      <c r="C12" s="77">
        <v>8400</v>
      </c>
      <c r="D12" s="79"/>
    </row>
    <row r="13" spans="1:10" x14ac:dyDescent="0.2">
      <c r="B13" s="12" t="s">
        <v>134</v>
      </c>
      <c r="C13" s="77">
        <v>4200</v>
      </c>
      <c r="D13" s="79"/>
    </row>
    <row r="14" spans="1:10" ht="15.75" thickBot="1" x14ac:dyDescent="0.25">
      <c r="B14" s="13" t="s">
        <v>163</v>
      </c>
      <c r="C14" s="78">
        <v>4200</v>
      </c>
      <c r="D14" s="79"/>
    </row>
    <row r="15" spans="1:10" x14ac:dyDescent="0.2">
      <c r="B15" s="2"/>
      <c r="C15" s="3"/>
      <c r="D15" s="4"/>
    </row>
    <row r="17" spans="1:7" ht="15.75" x14ac:dyDescent="0.25">
      <c r="A17" s="9" t="s">
        <v>102</v>
      </c>
      <c r="B17" s="9" t="s">
        <v>137</v>
      </c>
    </row>
    <row r="18" spans="1:7" ht="15.75" x14ac:dyDescent="0.25">
      <c r="A18" s="9"/>
      <c r="B18" s="22" t="s">
        <v>135</v>
      </c>
    </row>
    <row r="19" spans="1:7" ht="15.75" thickBot="1" x14ac:dyDescent="0.25"/>
    <row r="20" spans="1:7" s="20" customFormat="1" ht="26.25" thickBot="1" x14ac:dyDescent="0.25">
      <c r="B20" s="17" t="s">
        <v>90</v>
      </c>
      <c r="C20" s="18" t="s">
        <v>21</v>
      </c>
      <c r="D20" s="18" t="s">
        <v>89</v>
      </c>
      <c r="E20" s="19" t="s">
        <v>22</v>
      </c>
    </row>
    <row r="21" spans="1:7" x14ac:dyDescent="0.2">
      <c r="B21" s="16">
        <v>1</v>
      </c>
      <c r="C21" s="271">
        <v>45691</v>
      </c>
      <c r="D21" s="266">
        <v>45737</v>
      </c>
      <c r="E21" s="175" t="s">
        <v>109</v>
      </c>
    </row>
    <row r="22" spans="1:7" x14ac:dyDescent="0.2">
      <c r="B22" s="14">
        <v>2</v>
      </c>
      <c r="C22" s="272">
        <f>D21+3</f>
        <v>45740</v>
      </c>
      <c r="D22" s="15">
        <v>45793</v>
      </c>
      <c r="E22" s="176" t="s">
        <v>109</v>
      </c>
      <c r="F22" s="325"/>
      <c r="G22" s="326"/>
    </row>
    <row r="23" spans="1:7" x14ac:dyDescent="0.2">
      <c r="B23" s="23"/>
      <c r="C23" s="24"/>
      <c r="D23" s="24"/>
      <c r="E23" s="23"/>
    </row>
    <row r="24" spans="1:7" hidden="1" x14ac:dyDescent="0.2">
      <c r="A24" s="323" t="s">
        <v>122</v>
      </c>
      <c r="B24" s="323"/>
      <c r="C24" s="21" t="s">
        <v>96</v>
      </c>
      <c r="D24" s="21" t="s">
        <v>93</v>
      </c>
      <c r="F24" s="324" t="str">
        <f>IF(C5=C24,D24,IF(C5=C25,D25,""))</f>
        <v>Dr. Czopf László</v>
      </c>
      <c r="G24" s="324"/>
    </row>
    <row r="25" spans="1:7" hidden="1" x14ac:dyDescent="0.2">
      <c r="A25" s="323" t="s">
        <v>122</v>
      </c>
      <c r="B25" s="323"/>
      <c r="C25" s="21" t="s">
        <v>103</v>
      </c>
      <c r="D25" s="21" t="s">
        <v>121</v>
      </c>
      <c r="F25" s="324" t="str">
        <f>IF(C5=C24,A24,IF(C5=C25,A25,""))</f>
        <v>oktatási dékánhelyettes</v>
      </c>
      <c r="G25" s="324"/>
    </row>
  </sheetData>
  <sheetProtection algorithmName="SHA-512" hashValue="61Sy0a7UuXuwX3mTXNccvLT7cFEkTWzMTARyAKi5ahU2ue1D8fQvi7cbYwFST8+0XCzBtBSDJFaCApb9mRK2WQ==" saltValue="dz+VK7jb8Zo7KbG+zJJicQ==" spinCount="100000" sheet="1" selectLockedCells="1"/>
  <mergeCells count="8">
    <mergeCell ref="A25:B25"/>
    <mergeCell ref="F25:G25"/>
    <mergeCell ref="F22:G22"/>
    <mergeCell ref="B1:E1"/>
    <mergeCell ref="B2:E2"/>
    <mergeCell ref="E5:G7"/>
    <mergeCell ref="F24:G24"/>
    <mergeCell ref="A24:B24"/>
  </mergeCells>
  <phoneticPr fontId="2" type="noConversion"/>
  <dataValidations count="1">
    <dataValidation type="list" allowBlank="1" showInputMessage="1" showErrorMessage="1" sqref="C5" xr:uid="{00000000-0002-0000-0000-000000000000}">
      <formula1>$C$24:$C$25</formula1>
    </dataValidation>
  </dataValidations>
  <pageMargins left="0.59055118110236227" right="0.70866141732283472" top="0.78740157480314965" bottom="0.70866141732283472" header="0.39370078740157483" footer="0.39370078740157483"/>
  <pageSetup paperSize="9" orientation="landscape" r:id="rId1"/>
  <headerFooter alignWithMargins="0">
    <oddFooter>&amp;R&amp;11&amp;F/&amp;A/PP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indexed="53"/>
    <pageSetUpPr fitToPage="1"/>
  </sheetPr>
  <dimension ref="A1:N61"/>
  <sheetViews>
    <sheetView zoomScale="90" zoomScaleNormal="90" workbookViewId="0">
      <pane xSplit="1" ySplit="15" topLeftCell="B16" activePane="bottomRight" state="frozen"/>
      <selection activeCell="A6" sqref="A6"/>
      <selection pane="topRight" activeCell="A6" sqref="A6"/>
      <selection pane="bottomLeft" activeCell="A6" sqref="A6"/>
      <selection pane="bottomRight" activeCell="C8" sqref="C8:E8"/>
    </sheetView>
  </sheetViews>
  <sheetFormatPr defaultRowHeight="15" x14ac:dyDescent="0.2"/>
  <cols>
    <col min="1" max="1" width="4.6640625" customWidth="1"/>
    <col min="2" max="2" width="24.6640625" customWidth="1"/>
    <col min="3" max="3" width="21.77734375" customWidth="1"/>
    <col min="4" max="4" width="25.77734375" customWidth="1"/>
    <col min="5" max="5" width="11.6640625" customWidth="1"/>
    <col min="6" max="6" width="4.6640625" customWidth="1"/>
    <col min="7" max="7" width="28.6640625" customWidth="1"/>
    <col min="8" max="8" width="4.6640625" customWidth="1"/>
    <col min="9" max="9" width="43.77734375" customWidth="1"/>
    <col min="10" max="10" width="7.77734375" style="5" customWidth="1"/>
    <col min="11" max="11" width="24" hidden="1" customWidth="1"/>
    <col min="12" max="14" width="5.77734375" hidden="1" customWidth="1"/>
  </cols>
  <sheetData>
    <row r="1" spans="1:14" ht="18" x14ac:dyDescent="0.25">
      <c r="B1" s="350" t="str">
        <f>'Díjak és etapok'!C5</f>
        <v>PTE ÁOK</v>
      </c>
      <c r="C1" s="350"/>
      <c r="D1" s="350"/>
      <c r="E1" s="165"/>
      <c r="F1" s="165"/>
      <c r="G1" s="327"/>
      <c r="H1" s="327"/>
      <c r="I1" s="248"/>
      <c r="J1" s="265">
        <f>'Díjak és etapok'!C6</f>
        <v>2025</v>
      </c>
    </row>
    <row r="2" spans="1:14" ht="18.75" x14ac:dyDescent="0.3">
      <c r="A2" s="351" t="s">
        <v>94</v>
      </c>
      <c r="B2" s="351"/>
      <c r="C2" s="351"/>
      <c r="D2" s="351"/>
      <c r="E2" s="351"/>
      <c r="F2" s="351"/>
      <c r="G2" s="351"/>
      <c r="H2" s="351"/>
      <c r="I2" s="351"/>
      <c r="J2" s="351"/>
    </row>
    <row r="3" spans="1:14" x14ac:dyDescent="0.2">
      <c r="A3" s="352" t="str">
        <f>'Díjak és etapok'!B2</f>
        <v>2024/2025. tanév II. félév - tavaszi szemeszter</v>
      </c>
      <c r="B3" s="352"/>
      <c r="C3" s="352"/>
      <c r="D3" s="352"/>
      <c r="E3" s="352"/>
      <c r="F3" s="352"/>
      <c r="G3" s="352"/>
      <c r="H3" s="352"/>
      <c r="I3" s="352"/>
      <c r="J3" s="352"/>
    </row>
    <row r="4" spans="1:14" s="87" customFormat="1" ht="12" customHeight="1" x14ac:dyDescent="0.25">
      <c r="I4" s="88"/>
      <c r="J4" s="225"/>
    </row>
    <row r="5" spans="1:14" s="87" customFormat="1" ht="15.75" hidden="1" x14ac:dyDescent="0.25">
      <c r="C5" s="87" t="s">
        <v>18</v>
      </c>
      <c r="I5" s="88"/>
      <c r="J5" s="225"/>
    </row>
    <row r="6" spans="1:14" s="87" customFormat="1" ht="15.75" hidden="1" x14ac:dyDescent="0.25">
      <c r="C6" s="87" t="s">
        <v>19</v>
      </c>
      <c r="I6" s="88"/>
      <c r="J6" s="225"/>
    </row>
    <row r="7" spans="1:14" s="87" customFormat="1" ht="15.75" x14ac:dyDescent="0.25">
      <c r="B7" s="90" t="s">
        <v>10</v>
      </c>
      <c r="C7" s="277" t="s">
        <v>107</v>
      </c>
      <c r="D7" s="91"/>
      <c r="E7" s="92"/>
      <c r="F7" s="93"/>
      <c r="G7" s="93"/>
      <c r="J7" s="89"/>
    </row>
    <row r="8" spans="1:14" s="87" customFormat="1" ht="17.25" customHeight="1" x14ac:dyDescent="0.25">
      <c r="B8" s="90" t="s">
        <v>14</v>
      </c>
      <c r="C8" s="343"/>
      <c r="D8" s="344"/>
      <c r="E8" s="344"/>
      <c r="F8" s="94"/>
      <c r="G8" s="95"/>
      <c r="J8" s="89"/>
    </row>
    <row r="9" spans="1:14" s="87" customFormat="1" ht="15.75" x14ac:dyDescent="0.25">
      <c r="B9" s="90" t="s">
        <v>61</v>
      </c>
      <c r="C9" s="343"/>
      <c r="D9" s="346"/>
      <c r="E9" s="216"/>
      <c r="F9" s="95"/>
      <c r="G9" s="95"/>
      <c r="J9" s="89"/>
    </row>
    <row r="10" spans="1:14" s="87" customFormat="1" ht="15.75" x14ac:dyDescent="0.25">
      <c r="B10" s="90" t="s">
        <v>25</v>
      </c>
      <c r="C10" s="300" t="s">
        <v>26</v>
      </c>
      <c r="D10" s="91"/>
      <c r="E10" s="217"/>
      <c r="F10" s="96"/>
      <c r="G10" s="96"/>
      <c r="J10" s="89"/>
    </row>
    <row r="11" spans="1:14" s="87" customFormat="1" ht="15.75" x14ac:dyDescent="0.25">
      <c r="B11" s="90" t="s">
        <v>13</v>
      </c>
      <c r="C11" s="353"/>
      <c r="D11" s="354"/>
      <c r="E11" s="86"/>
      <c r="F11" s="96"/>
      <c r="G11" s="96"/>
      <c r="J11" s="89"/>
    </row>
    <row r="12" spans="1:14" s="87" customFormat="1" ht="15.75" x14ac:dyDescent="0.25">
      <c r="B12" s="90" t="s">
        <v>15</v>
      </c>
      <c r="C12" s="343"/>
      <c r="D12" s="344"/>
      <c r="E12" s="345"/>
      <c r="F12" s="86"/>
      <c r="G12" s="96"/>
      <c r="J12" s="89"/>
    </row>
    <row r="13" spans="1:14" s="87" customFormat="1" ht="15.75" x14ac:dyDescent="0.25">
      <c r="B13" s="90" t="s">
        <v>28</v>
      </c>
      <c r="C13" s="343"/>
      <c r="D13" s="344"/>
      <c r="E13" s="344"/>
      <c r="F13" s="86"/>
      <c r="G13" s="96"/>
      <c r="J13" s="89"/>
    </row>
    <row r="14" spans="1:14" s="87" customFormat="1" x14ac:dyDescent="0.2">
      <c r="J14" s="89"/>
    </row>
    <row r="15" spans="1:14" s="168" customFormat="1" ht="22.5" x14ac:dyDescent="0.2">
      <c r="A15" s="166" t="s">
        <v>63</v>
      </c>
      <c r="B15" s="342" t="s">
        <v>120</v>
      </c>
      <c r="C15" s="342"/>
      <c r="D15" s="167" t="s">
        <v>50</v>
      </c>
      <c r="E15" s="167" t="s">
        <v>17</v>
      </c>
      <c r="F15" s="342" t="s">
        <v>146</v>
      </c>
      <c r="G15" s="342"/>
      <c r="H15" s="339" t="s">
        <v>12</v>
      </c>
      <c r="I15" s="340"/>
      <c r="J15" s="341"/>
    </row>
    <row r="16" spans="1:14" s="20" customFormat="1" ht="23.25" customHeight="1" x14ac:dyDescent="0.2">
      <c r="A16" s="28">
        <v>1</v>
      </c>
      <c r="B16" s="338"/>
      <c r="C16" s="338"/>
      <c r="D16" s="31"/>
      <c r="E16" s="31"/>
      <c r="F16" s="301">
        <v>3</v>
      </c>
      <c r="G16" s="29" t="str">
        <f>IF(F16="","",IF(F16=3,$G$53,IF(F16=4,$G$54,IF(F16=5,$G$55,"NEM JÓ A KITÖLTÉS!"))))</f>
        <v>KK eü.szolg jogviszonyos</v>
      </c>
      <c r="H16" s="311">
        <f>IF(F16="","",IF(F16=3,4,IF(F16=4,3,IF(F16=5,2,"HIBA"))))</f>
        <v>4</v>
      </c>
      <c r="I16" s="29" t="str">
        <f>IF(H16="","",IF(H16=2,$I$52,IF(H16=3,$I$53,IF(H16=4,$I$54,"NEM JÓ A KITÖLTÉS!"))))</f>
        <v>munkafeladat-kitűzés (MF)</v>
      </c>
      <c r="J16" s="250" t="str">
        <f>IF(H16="","",IF(H16=2,"M",IF(H16=3,"TF",IF(H16=4,"MF","NEM JÓ!"))))</f>
        <v>MF</v>
      </c>
      <c r="K16" s="21" t="s">
        <v>62</v>
      </c>
      <c r="L16" s="249">
        <v>1</v>
      </c>
      <c r="M16" s="28">
        <v>2</v>
      </c>
      <c r="N16" s="28"/>
    </row>
    <row r="17" spans="1:14" s="20" customFormat="1" ht="23.25" customHeight="1" x14ac:dyDescent="0.2">
      <c r="A17" s="28">
        <v>2</v>
      </c>
      <c r="B17" s="338"/>
      <c r="C17" s="338"/>
      <c r="D17" s="31"/>
      <c r="E17" s="31"/>
      <c r="F17" s="301"/>
      <c r="G17" s="29" t="str">
        <f t="shared" ref="G17:G45" si="0">IF(F17="","",IF(F17=3,$G$53,IF(F17=4,$G$54,IF(F17=5,$G$55,"NEM JÓ A KITÖLTÉS!"))))</f>
        <v/>
      </c>
      <c r="H17" s="311" t="str">
        <f t="shared" ref="H17:H45" si="1">IF(F17="","",IF(F17=3,4,IF(F17=4,3,IF(F17=5,2,"HIBA"))))</f>
        <v/>
      </c>
      <c r="I17" s="29" t="str">
        <f t="shared" ref="I17:I45" si="2">IF(H17="","",IF(H17=2,$I$52,IF(H17=3,$I$53,IF(H17=4,$I$54,"NEM JÓ A KITÖLTÉS!"))))</f>
        <v/>
      </c>
      <c r="J17" s="250" t="str">
        <f t="shared" ref="J17:J45" si="3">IF(H17="","",IF(H17=2,"M",IF(H17=3,"TF",IF(H17=4,"MF","NEM JÓ!"))))</f>
        <v/>
      </c>
      <c r="K17" s="30"/>
      <c r="L17" s="249">
        <v>2</v>
      </c>
      <c r="M17" s="28">
        <v>1</v>
      </c>
      <c r="N17" s="28"/>
    </row>
    <row r="18" spans="1:14" s="20" customFormat="1" ht="23.25" customHeight="1" x14ac:dyDescent="0.2">
      <c r="A18" s="28">
        <v>3</v>
      </c>
      <c r="B18" s="338"/>
      <c r="C18" s="338"/>
      <c r="D18" s="31"/>
      <c r="E18" s="31"/>
      <c r="F18" s="301"/>
      <c r="G18" s="29" t="str">
        <f t="shared" si="0"/>
        <v/>
      </c>
      <c r="H18" s="311" t="str">
        <f t="shared" si="1"/>
        <v/>
      </c>
      <c r="I18" s="29" t="str">
        <f t="shared" si="2"/>
        <v/>
      </c>
      <c r="J18" s="250" t="str">
        <f t="shared" si="3"/>
        <v/>
      </c>
      <c r="K18" s="30"/>
      <c r="L18" s="249">
        <v>3</v>
      </c>
      <c r="M18" s="28">
        <v>2</v>
      </c>
      <c r="N18" s="28"/>
    </row>
    <row r="19" spans="1:14" s="20" customFormat="1" ht="23.25" customHeight="1" x14ac:dyDescent="0.2">
      <c r="A19" s="28">
        <v>4</v>
      </c>
      <c r="B19" s="338"/>
      <c r="C19" s="338"/>
      <c r="D19" s="31"/>
      <c r="E19" s="31"/>
      <c r="F19" s="301"/>
      <c r="G19" s="29" t="str">
        <f t="shared" si="0"/>
        <v/>
      </c>
      <c r="H19" s="311" t="str">
        <f t="shared" si="1"/>
        <v/>
      </c>
      <c r="I19" s="29" t="str">
        <f t="shared" si="2"/>
        <v/>
      </c>
      <c r="J19" s="250" t="str">
        <f t="shared" si="3"/>
        <v/>
      </c>
      <c r="K19" s="30"/>
      <c r="L19" s="249">
        <v>4</v>
      </c>
      <c r="M19" s="28">
        <v>1</v>
      </c>
      <c r="N19" s="28"/>
    </row>
    <row r="20" spans="1:14" s="20" customFormat="1" ht="23.25" customHeight="1" x14ac:dyDescent="0.2">
      <c r="A20" s="28">
        <v>5</v>
      </c>
      <c r="B20" s="338"/>
      <c r="C20" s="338"/>
      <c r="D20" s="31"/>
      <c r="E20" s="31"/>
      <c r="F20" s="301"/>
      <c r="G20" s="29" t="str">
        <f t="shared" si="0"/>
        <v/>
      </c>
      <c r="H20" s="311" t="str">
        <f t="shared" si="1"/>
        <v/>
      </c>
      <c r="I20" s="29" t="str">
        <f t="shared" si="2"/>
        <v/>
      </c>
      <c r="J20" s="250" t="str">
        <f t="shared" si="3"/>
        <v/>
      </c>
      <c r="K20" s="30"/>
      <c r="L20" s="249">
        <v>5</v>
      </c>
      <c r="M20" s="28">
        <v>1</v>
      </c>
      <c r="N20" s="28"/>
    </row>
    <row r="21" spans="1:14" s="20" customFormat="1" ht="23.25" customHeight="1" x14ac:dyDescent="0.2">
      <c r="A21" s="28">
        <v>6</v>
      </c>
      <c r="B21" s="338"/>
      <c r="C21" s="338"/>
      <c r="D21" s="31"/>
      <c r="E21" s="31"/>
      <c r="F21" s="301"/>
      <c r="G21" s="29" t="str">
        <f t="shared" si="0"/>
        <v/>
      </c>
      <c r="H21" s="311" t="str">
        <f t="shared" si="1"/>
        <v/>
      </c>
      <c r="I21" s="29" t="str">
        <f t="shared" si="2"/>
        <v/>
      </c>
      <c r="J21" s="250" t="str">
        <f t="shared" si="3"/>
        <v/>
      </c>
      <c r="K21" s="30"/>
      <c r="L21" s="249">
        <v>6</v>
      </c>
      <c r="M21" s="28">
        <v>3</v>
      </c>
      <c r="N21" s="28"/>
    </row>
    <row r="22" spans="1:14" s="20" customFormat="1" ht="23.25" customHeight="1" x14ac:dyDescent="0.2">
      <c r="A22" s="28">
        <v>7</v>
      </c>
      <c r="B22" s="338"/>
      <c r="C22" s="338"/>
      <c r="D22" s="31"/>
      <c r="E22" s="31"/>
      <c r="F22" s="301"/>
      <c r="G22" s="29" t="str">
        <f t="shared" si="0"/>
        <v/>
      </c>
      <c r="H22" s="311" t="str">
        <f t="shared" si="1"/>
        <v/>
      </c>
      <c r="I22" s="29" t="str">
        <f t="shared" si="2"/>
        <v/>
      </c>
      <c r="J22" s="250" t="str">
        <f t="shared" si="3"/>
        <v/>
      </c>
      <c r="K22" s="30"/>
      <c r="L22" s="249">
        <v>7</v>
      </c>
      <c r="M22" s="28">
        <v>3</v>
      </c>
      <c r="N22" s="28"/>
    </row>
    <row r="23" spans="1:14" s="20" customFormat="1" ht="23.25" customHeight="1" x14ac:dyDescent="0.2">
      <c r="A23" s="28">
        <v>8</v>
      </c>
      <c r="B23" s="338"/>
      <c r="C23" s="338"/>
      <c r="D23" s="31"/>
      <c r="E23" s="31"/>
      <c r="F23" s="301"/>
      <c r="G23" s="29" t="str">
        <f t="shared" si="0"/>
        <v/>
      </c>
      <c r="H23" s="311" t="str">
        <f t="shared" si="1"/>
        <v/>
      </c>
      <c r="I23" s="29" t="str">
        <f t="shared" si="2"/>
        <v/>
      </c>
      <c r="J23" s="250" t="str">
        <f t="shared" si="3"/>
        <v/>
      </c>
      <c r="K23" s="30"/>
      <c r="L23" s="249">
        <v>8</v>
      </c>
      <c r="M23" s="28">
        <v>3</v>
      </c>
      <c r="N23" s="28">
        <v>4</v>
      </c>
    </row>
    <row r="24" spans="1:14" s="20" customFormat="1" ht="23.25" customHeight="1" x14ac:dyDescent="0.2">
      <c r="A24" s="28">
        <v>9</v>
      </c>
      <c r="B24" s="338"/>
      <c r="C24" s="338"/>
      <c r="D24" s="31"/>
      <c r="E24" s="31"/>
      <c r="F24" s="301"/>
      <c r="G24" s="29" t="str">
        <f t="shared" si="0"/>
        <v/>
      </c>
      <c r="H24" s="311" t="str">
        <f t="shared" si="1"/>
        <v/>
      </c>
      <c r="I24" s="29" t="str">
        <f t="shared" si="2"/>
        <v/>
      </c>
      <c r="J24" s="250" t="str">
        <f t="shared" si="3"/>
        <v/>
      </c>
      <c r="K24" s="30"/>
      <c r="L24" s="249">
        <v>9</v>
      </c>
      <c r="M24" s="28">
        <v>3</v>
      </c>
      <c r="N24" s="28"/>
    </row>
    <row r="25" spans="1:14" s="20" customFormat="1" ht="23.25" customHeight="1" x14ac:dyDescent="0.2">
      <c r="A25" s="28">
        <v>10</v>
      </c>
      <c r="B25" s="338"/>
      <c r="C25" s="338"/>
      <c r="D25" s="31"/>
      <c r="E25" s="31"/>
      <c r="F25" s="301"/>
      <c r="G25" s="29" t="str">
        <f t="shared" si="0"/>
        <v/>
      </c>
      <c r="H25" s="311" t="str">
        <f t="shared" si="1"/>
        <v/>
      </c>
      <c r="I25" s="29" t="str">
        <f t="shared" si="2"/>
        <v/>
      </c>
      <c r="J25" s="250" t="str">
        <f t="shared" si="3"/>
        <v/>
      </c>
      <c r="K25" s="30"/>
      <c r="L25" s="249">
        <v>10</v>
      </c>
      <c r="M25" s="28">
        <v>3</v>
      </c>
      <c r="N25" s="28"/>
    </row>
    <row r="26" spans="1:14" s="20" customFormat="1" ht="23.25" customHeight="1" x14ac:dyDescent="0.2">
      <c r="A26" s="28">
        <v>11</v>
      </c>
      <c r="B26" s="338"/>
      <c r="C26" s="338"/>
      <c r="D26" s="31"/>
      <c r="E26" s="31"/>
      <c r="F26" s="301"/>
      <c r="G26" s="29" t="str">
        <f t="shared" si="0"/>
        <v/>
      </c>
      <c r="H26" s="311" t="str">
        <f t="shared" si="1"/>
        <v/>
      </c>
      <c r="I26" s="29" t="str">
        <f t="shared" si="2"/>
        <v/>
      </c>
      <c r="J26" s="250" t="str">
        <f t="shared" si="3"/>
        <v/>
      </c>
      <c r="K26" s="30"/>
    </row>
    <row r="27" spans="1:14" s="20" customFormat="1" ht="23.25" customHeight="1" x14ac:dyDescent="0.2">
      <c r="A27" s="28">
        <v>12</v>
      </c>
      <c r="B27" s="338"/>
      <c r="C27" s="338"/>
      <c r="D27" s="31"/>
      <c r="E27" s="31"/>
      <c r="F27" s="301"/>
      <c r="G27" s="29" t="str">
        <f t="shared" si="0"/>
        <v/>
      </c>
      <c r="H27" s="311" t="str">
        <f t="shared" si="1"/>
        <v/>
      </c>
      <c r="I27" s="29" t="str">
        <f t="shared" si="2"/>
        <v/>
      </c>
      <c r="J27" s="250" t="str">
        <f t="shared" si="3"/>
        <v/>
      </c>
      <c r="K27" s="30"/>
    </row>
    <row r="28" spans="1:14" s="20" customFormat="1" ht="23.25" customHeight="1" x14ac:dyDescent="0.2">
      <c r="A28" s="28">
        <v>13</v>
      </c>
      <c r="B28" s="338"/>
      <c r="C28" s="338"/>
      <c r="D28" s="31"/>
      <c r="E28" s="31"/>
      <c r="F28" s="301"/>
      <c r="G28" s="29" t="str">
        <f t="shared" si="0"/>
        <v/>
      </c>
      <c r="H28" s="311" t="str">
        <f t="shared" si="1"/>
        <v/>
      </c>
      <c r="I28" s="29" t="str">
        <f t="shared" si="2"/>
        <v/>
      </c>
      <c r="J28" s="250" t="str">
        <f t="shared" si="3"/>
        <v/>
      </c>
      <c r="K28" s="30"/>
    </row>
    <row r="29" spans="1:14" s="20" customFormat="1" ht="23.25" customHeight="1" x14ac:dyDescent="0.2">
      <c r="A29" s="28">
        <v>14</v>
      </c>
      <c r="B29" s="338"/>
      <c r="C29" s="338"/>
      <c r="D29" s="31"/>
      <c r="E29" s="31"/>
      <c r="F29" s="301"/>
      <c r="G29" s="29" t="str">
        <f t="shared" si="0"/>
        <v/>
      </c>
      <c r="H29" s="311" t="str">
        <f t="shared" si="1"/>
        <v/>
      </c>
      <c r="I29" s="29" t="str">
        <f t="shared" si="2"/>
        <v/>
      </c>
      <c r="J29" s="250" t="str">
        <f t="shared" si="3"/>
        <v/>
      </c>
      <c r="K29" s="30"/>
    </row>
    <row r="30" spans="1:14" s="20" customFormat="1" ht="23.25" customHeight="1" x14ac:dyDescent="0.2">
      <c r="A30" s="28">
        <v>15</v>
      </c>
      <c r="B30" s="338"/>
      <c r="C30" s="338"/>
      <c r="D30" s="31"/>
      <c r="E30" s="31"/>
      <c r="F30" s="301"/>
      <c r="G30" s="29" t="str">
        <f t="shared" si="0"/>
        <v/>
      </c>
      <c r="H30" s="311" t="str">
        <f t="shared" si="1"/>
        <v/>
      </c>
      <c r="I30" s="29" t="str">
        <f t="shared" si="2"/>
        <v/>
      </c>
      <c r="J30" s="250" t="str">
        <f t="shared" si="3"/>
        <v/>
      </c>
      <c r="K30" s="30"/>
    </row>
    <row r="31" spans="1:14" s="20" customFormat="1" ht="23.25" customHeight="1" x14ac:dyDescent="0.2">
      <c r="A31" s="28">
        <v>16</v>
      </c>
      <c r="B31" s="338"/>
      <c r="C31" s="338"/>
      <c r="D31" s="31"/>
      <c r="E31" s="31"/>
      <c r="F31" s="301"/>
      <c r="G31" s="29" t="str">
        <f t="shared" si="0"/>
        <v/>
      </c>
      <c r="H31" s="311" t="str">
        <f t="shared" si="1"/>
        <v/>
      </c>
      <c r="I31" s="29" t="str">
        <f t="shared" si="2"/>
        <v/>
      </c>
      <c r="J31" s="250" t="str">
        <f t="shared" si="3"/>
        <v/>
      </c>
      <c r="K31" s="30"/>
    </row>
    <row r="32" spans="1:14" s="20" customFormat="1" ht="23.25" customHeight="1" x14ac:dyDescent="0.2">
      <c r="A32" s="28">
        <v>17</v>
      </c>
      <c r="B32" s="338"/>
      <c r="C32" s="338"/>
      <c r="D32" s="31"/>
      <c r="E32" s="31"/>
      <c r="F32" s="301"/>
      <c r="G32" s="29" t="str">
        <f t="shared" si="0"/>
        <v/>
      </c>
      <c r="H32" s="311" t="str">
        <f t="shared" si="1"/>
        <v/>
      </c>
      <c r="I32" s="29" t="str">
        <f t="shared" si="2"/>
        <v/>
      </c>
      <c r="J32" s="250" t="str">
        <f t="shared" si="3"/>
        <v/>
      </c>
      <c r="K32" s="30"/>
    </row>
    <row r="33" spans="1:11" s="20" customFormat="1" ht="23.25" customHeight="1" x14ac:dyDescent="0.2">
      <c r="A33" s="28">
        <v>18</v>
      </c>
      <c r="B33" s="338"/>
      <c r="C33" s="338"/>
      <c r="D33" s="31"/>
      <c r="E33" s="31"/>
      <c r="F33" s="301"/>
      <c r="G33" s="29" t="str">
        <f t="shared" si="0"/>
        <v/>
      </c>
      <c r="H33" s="311" t="str">
        <f t="shared" si="1"/>
        <v/>
      </c>
      <c r="I33" s="29" t="str">
        <f t="shared" si="2"/>
        <v/>
      </c>
      <c r="J33" s="250" t="str">
        <f t="shared" si="3"/>
        <v/>
      </c>
      <c r="K33" s="30"/>
    </row>
    <row r="34" spans="1:11" s="20" customFormat="1" ht="23.25" customHeight="1" x14ac:dyDescent="0.2">
      <c r="A34" s="28">
        <v>19</v>
      </c>
      <c r="B34" s="338"/>
      <c r="C34" s="338"/>
      <c r="D34" s="31"/>
      <c r="E34" s="31"/>
      <c r="F34" s="301"/>
      <c r="G34" s="29" t="str">
        <f t="shared" si="0"/>
        <v/>
      </c>
      <c r="H34" s="311" t="str">
        <f t="shared" si="1"/>
        <v/>
      </c>
      <c r="I34" s="29" t="str">
        <f t="shared" si="2"/>
        <v/>
      </c>
      <c r="J34" s="250" t="str">
        <f t="shared" si="3"/>
        <v/>
      </c>
      <c r="K34" s="30"/>
    </row>
    <row r="35" spans="1:11" s="20" customFormat="1" ht="23.25" customHeight="1" x14ac:dyDescent="0.2">
      <c r="A35" s="28">
        <v>20</v>
      </c>
      <c r="B35" s="338"/>
      <c r="C35" s="338"/>
      <c r="D35" s="31"/>
      <c r="E35" s="31"/>
      <c r="F35" s="301"/>
      <c r="G35" s="29" t="str">
        <f t="shared" si="0"/>
        <v/>
      </c>
      <c r="H35" s="311" t="str">
        <f t="shared" si="1"/>
        <v/>
      </c>
      <c r="I35" s="29" t="str">
        <f t="shared" si="2"/>
        <v/>
      </c>
      <c r="J35" s="250" t="str">
        <f t="shared" si="3"/>
        <v/>
      </c>
      <c r="K35" s="30"/>
    </row>
    <row r="36" spans="1:11" s="20" customFormat="1" ht="23.25" customHeight="1" x14ac:dyDescent="0.2">
      <c r="A36" s="28">
        <v>21</v>
      </c>
      <c r="B36" s="338"/>
      <c r="C36" s="338"/>
      <c r="D36" s="31"/>
      <c r="E36" s="31"/>
      <c r="F36" s="301"/>
      <c r="G36" s="29" t="str">
        <f t="shared" si="0"/>
        <v/>
      </c>
      <c r="H36" s="311" t="str">
        <f t="shared" si="1"/>
        <v/>
      </c>
      <c r="I36" s="29" t="str">
        <f t="shared" si="2"/>
        <v/>
      </c>
      <c r="J36" s="250" t="str">
        <f t="shared" si="3"/>
        <v/>
      </c>
      <c r="K36" s="30"/>
    </row>
    <row r="37" spans="1:11" s="20" customFormat="1" ht="23.25" customHeight="1" x14ac:dyDescent="0.2">
      <c r="A37" s="28">
        <v>22</v>
      </c>
      <c r="B37" s="338"/>
      <c r="C37" s="338"/>
      <c r="D37" s="31"/>
      <c r="E37" s="31"/>
      <c r="F37" s="301"/>
      <c r="G37" s="29" t="str">
        <f t="shared" si="0"/>
        <v/>
      </c>
      <c r="H37" s="311" t="str">
        <f t="shared" si="1"/>
        <v/>
      </c>
      <c r="I37" s="29" t="str">
        <f t="shared" si="2"/>
        <v/>
      </c>
      <c r="J37" s="250" t="str">
        <f t="shared" si="3"/>
        <v/>
      </c>
      <c r="K37" s="30"/>
    </row>
    <row r="38" spans="1:11" s="20" customFormat="1" ht="23.25" customHeight="1" x14ac:dyDescent="0.2">
      <c r="A38" s="28">
        <v>23</v>
      </c>
      <c r="B38" s="338"/>
      <c r="C38" s="338"/>
      <c r="D38" s="31"/>
      <c r="E38" s="31"/>
      <c r="F38" s="301"/>
      <c r="G38" s="29" t="str">
        <f t="shared" si="0"/>
        <v/>
      </c>
      <c r="H38" s="311" t="str">
        <f t="shared" si="1"/>
        <v/>
      </c>
      <c r="I38" s="29" t="str">
        <f t="shared" si="2"/>
        <v/>
      </c>
      <c r="J38" s="250" t="str">
        <f t="shared" si="3"/>
        <v/>
      </c>
      <c r="K38" s="30"/>
    </row>
    <row r="39" spans="1:11" s="20" customFormat="1" ht="23.25" customHeight="1" x14ac:dyDescent="0.2">
      <c r="A39" s="28">
        <v>24</v>
      </c>
      <c r="B39" s="338"/>
      <c r="C39" s="338"/>
      <c r="D39" s="31"/>
      <c r="E39" s="31"/>
      <c r="F39" s="301"/>
      <c r="G39" s="29" t="str">
        <f t="shared" si="0"/>
        <v/>
      </c>
      <c r="H39" s="311" t="str">
        <f t="shared" si="1"/>
        <v/>
      </c>
      <c r="I39" s="29" t="str">
        <f t="shared" si="2"/>
        <v/>
      </c>
      <c r="J39" s="250" t="str">
        <f t="shared" si="3"/>
        <v/>
      </c>
      <c r="K39" s="30"/>
    </row>
    <row r="40" spans="1:11" s="20" customFormat="1" ht="23.25" customHeight="1" x14ac:dyDescent="0.2">
      <c r="A40" s="28">
        <v>25</v>
      </c>
      <c r="B40" s="338"/>
      <c r="C40" s="338"/>
      <c r="D40" s="31"/>
      <c r="E40" s="31"/>
      <c r="F40" s="301"/>
      <c r="G40" s="29" t="str">
        <f t="shared" si="0"/>
        <v/>
      </c>
      <c r="H40" s="311" t="str">
        <f t="shared" si="1"/>
        <v/>
      </c>
      <c r="I40" s="29" t="str">
        <f t="shared" si="2"/>
        <v/>
      </c>
      <c r="J40" s="250" t="str">
        <f t="shared" si="3"/>
        <v/>
      </c>
      <c r="K40" s="30"/>
    </row>
    <row r="41" spans="1:11" s="20" customFormat="1" ht="23.25" customHeight="1" x14ac:dyDescent="0.2">
      <c r="A41" s="28">
        <v>26</v>
      </c>
      <c r="B41" s="338"/>
      <c r="C41" s="338"/>
      <c r="D41" s="31"/>
      <c r="E41" s="31"/>
      <c r="F41" s="301"/>
      <c r="G41" s="29" t="str">
        <f t="shared" si="0"/>
        <v/>
      </c>
      <c r="H41" s="311" t="str">
        <f t="shared" si="1"/>
        <v/>
      </c>
      <c r="I41" s="29" t="str">
        <f t="shared" si="2"/>
        <v/>
      </c>
      <c r="J41" s="250" t="str">
        <f t="shared" si="3"/>
        <v/>
      </c>
      <c r="K41" s="30"/>
    </row>
    <row r="42" spans="1:11" s="20" customFormat="1" ht="23.25" customHeight="1" x14ac:dyDescent="0.2">
      <c r="A42" s="28">
        <v>27</v>
      </c>
      <c r="B42" s="338"/>
      <c r="C42" s="338"/>
      <c r="D42" s="31"/>
      <c r="E42" s="31"/>
      <c r="F42" s="301"/>
      <c r="G42" s="29" t="str">
        <f t="shared" si="0"/>
        <v/>
      </c>
      <c r="H42" s="311" t="str">
        <f t="shared" si="1"/>
        <v/>
      </c>
      <c r="I42" s="29" t="str">
        <f t="shared" si="2"/>
        <v/>
      </c>
      <c r="J42" s="250" t="str">
        <f t="shared" si="3"/>
        <v/>
      </c>
      <c r="K42" s="30"/>
    </row>
    <row r="43" spans="1:11" s="20" customFormat="1" ht="23.25" customHeight="1" x14ac:dyDescent="0.2">
      <c r="A43" s="28">
        <v>28</v>
      </c>
      <c r="B43" s="338"/>
      <c r="C43" s="338"/>
      <c r="D43" s="31"/>
      <c r="E43" s="31"/>
      <c r="F43" s="301"/>
      <c r="G43" s="29" t="str">
        <f t="shared" si="0"/>
        <v/>
      </c>
      <c r="H43" s="311" t="str">
        <f t="shared" si="1"/>
        <v/>
      </c>
      <c r="I43" s="29" t="str">
        <f t="shared" si="2"/>
        <v/>
      </c>
      <c r="J43" s="250" t="str">
        <f t="shared" si="3"/>
        <v/>
      </c>
      <c r="K43" s="30"/>
    </row>
    <row r="44" spans="1:11" s="20" customFormat="1" ht="23.25" customHeight="1" x14ac:dyDescent="0.2">
      <c r="A44" s="28">
        <v>29</v>
      </c>
      <c r="B44" s="338"/>
      <c r="C44" s="338"/>
      <c r="D44" s="31"/>
      <c r="E44" s="31"/>
      <c r="F44" s="301"/>
      <c r="G44" s="29" t="str">
        <f t="shared" si="0"/>
        <v/>
      </c>
      <c r="H44" s="311" t="str">
        <f t="shared" si="1"/>
        <v/>
      </c>
      <c r="I44" s="29" t="str">
        <f t="shared" si="2"/>
        <v/>
      </c>
      <c r="J44" s="250" t="str">
        <f t="shared" si="3"/>
        <v/>
      </c>
      <c r="K44" s="30"/>
    </row>
    <row r="45" spans="1:11" s="20" customFormat="1" ht="23.25" customHeight="1" x14ac:dyDescent="0.2">
      <c r="A45" s="28">
        <v>30</v>
      </c>
      <c r="B45" s="338"/>
      <c r="C45" s="338"/>
      <c r="D45" s="31"/>
      <c r="E45" s="31"/>
      <c r="F45" s="301"/>
      <c r="G45" s="29" t="str">
        <f t="shared" si="0"/>
        <v/>
      </c>
      <c r="H45" s="311" t="str">
        <f t="shared" si="1"/>
        <v/>
      </c>
      <c r="I45" s="29" t="str">
        <f t="shared" si="2"/>
        <v/>
      </c>
      <c r="J45" s="250" t="str">
        <f t="shared" si="3"/>
        <v/>
      </c>
      <c r="K45" s="30"/>
    </row>
    <row r="47" spans="1:11" ht="15" customHeight="1" x14ac:dyDescent="0.2"/>
    <row r="48" spans="1:11" x14ac:dyDescent="0.2">
      <c r="B48" s="10" t="s">
        <v>20</v>
      </c>
      <c r="C48" s="83"/>
      <c r="D48" s="82"/>
    </row>
    <row r="49" spans="6:10" ht="15.75" thickBot="1" x14ac:dyDescent="0.25"/>
    <row r="50" spans="6:10" ht="34.5" customHeight="1" thickTop="1" thickBot="1" x14ac:dyDescent="0.25">
      <c r="F50" s="349" t="s">
        <v>151</v>
      </c>
      <c r="G50" s="348"/>
      <c r="H50" s="347" t="s">
        <v>16</v>
      </c>
      <c r="I50" s="348"/>
      <c r="J50" s="236"/>
    </row>
    <row r="51" spans="6:10" ht="15.75" x14ac:dyDescent="0.25">
      <c r="F51" s="8"/>
      <c r="G51" s="25"/>
      <c r="H51" s="8"/>
      <c r="I51" s="25"/>
      <c r="J51" s="237"/>
    </row>
    <row r="52" spans="6:10" ht="15.75" x14ac:dyDescent="0.25">
      <c r="F52" s="6"/>
      <c r="G52" s="26"/>
      <c r="H52" s="6">
        <v>2</v>
      </c>
      <c r="I52" s="26" t="s">
        <v>144</v>
      </c>
      <c r="J52" s="237"/>
    </row>
    <row r="53" spans="6:10" ht="15.75" x14ac:dyDescent="0.25">
      <c r="F53" s="8">
        <v>3</v>
      </c>
      <c r="G53" s="25" t="s">
        <v>108</v>
      </c>
      <c r="H53" s="6">
        <v>3</v>
      </c>
      <c r="I53" s="245" t="s">
        <v>150</v>
      </c>
      <c r="J53" s="237"/>
    </row>
    <row r="54" spans="6:10" ht="16.5" thickBot="1" x14ac:dyDescent="0.3">
      <c r="F54" s="6">
        <v>4</v>
      </c>
      <c r="G54" s="26" t="s">
        <v>149</v>
      </c>
      <c r="H54" s="244">
        <v>4</v>
      </c>
      <c r="I54" s="27" t="s">
        <v>123</v>
      </c>
      <c r="J54" s="237"/>
    </row>
    <row r="55" spans="6:10" ht="16.5" thickTop="1" x14ac:dyDescent="0.25">
      <c r="F55" s="6">
        <v>5</v>
      </c>
      <c r="G55" s="26" t="s">
        <v>145</v>
      </c>
      <c r="H55" s="246"/>
      <c r="I55" s="247"/>
      <c r="J55" s="237"/>
    </row>
    <row r="56" spans="6:10" ht="15.75" x14ac:dyDescent="0.25">
      <c r="F56" s="6"/>
      <c r="G56" s="26"/>
    </row>
    <row r="57" spans="6:10" ht="15.75" x14ac:dyDescent="0.25">
      <c r="F57" s="6"/>
      <c r="G57" s="161"/>
    </row>
    <row r="58" spans="6:10" ht="15.75" x14ac:dyDescent="0.25">
      <c r="F58" s="6"/>
      <c r="G58" s="26"/>
    </row>
    <row r="59" spans="6:10" ht="15.75" x14ac:dyDescent="0.25">
      <c r="F59" s="6"/>
      <c r="G59" s="245"/>
    </row>
    <row r="60" spans="6:10" ht="16.5" thickBot="1" x14ac:dyDescent="0.3">
      <c r="F60" s="7"/>
      <c r="G60" s="27"/>
    </row>
    <row r="61" spans="6:10" ht="15.75" thickTop="1" x14ac:dyDescent="0.2"/>
  </sheetData>
  <sheetProtection algorithmName="SHA-512" hashValue="8aaKndEXu5h9thTG197PvjuntoiIA6Jj9S7192Xn0SvtTkcGZlPJatM984/U/NoHn5y7+BzUUx99RQDUkx/W0Q==" saltValue="V5m2G1BmIZznNHfkeqSjpw==" spinCount="100000" sheet="1" formatCells="0" selectLockedCells="1"/>
  <mergeCells count="44">
    <mergeCell ref="B1:D1"/>
    <mergeCell ref="G1:H1"/>
    <mergeCell ref="A2:J2"/>
    <mergeCell ref="A3:J3"/>
    <mergeCell ref="C11:D11"/>
    <mergeCell ref="C12:E12"/>
    <mergeCell ref="C13:E13"/>
    <mergeCell ref="C8:E8"/>
    <mergeCell ref="C9:D9"/>
    <mergeCell ref="H50:I50"/>
    <mergeCell ref="F50:G50"/>
    <mergeCell ref="B45:C45"/>
    <mergeCell ref="F15:G15"/>
    <mergeCell ref="B26:C26"/>
    <mergeCell ref="B42:C42"/>
    <mergeCell ref="B43:C43"/>
    <mergeCell ref="B44:C44"/>
    <mergeCell ref="B22:C22"/>
    <mergeCell ref="B23:C23"/>
    <mergeCell ref="B27:C27"/>
    <mergeCell ref="B28:C28"/>
    <mergeCell ref="H15:J15"/>
    <mergeCell ref="B18:C18"/>
    <mergeCell ref="B19:C19"/>
    <mergeCell ref="B20:C20"/>
    <mergeCell ref="B21:C21"/>
    <mergeCell ref="B15:C15"/>
    <mergeCell ref="B16:C16"/>
    <mergeCell ref="B17:C17"/>
    <mergeCell ref="B33:C33"/>
    <mergeCell ref="B34:C34"/>
    <mergeCell ref="B39:C39"/>
    <mergeCell ref="B40:C40"/>
    <mergeCell ref="B24:C24"/>
    <mergeCell ref="B25:C25"/>
    <mergeCell ref="B29:C29"/>
    <mergeCell ref="B30:C30"/>
    <mergeCell ref="B31:C31"/>
    <mergeCell ref="B32:C32"/>
    <mergeCell ref="B41:C41"/>
    <mergeCell ref="B35:C35"/>
    <mergeCell ref="B36:C36"/>
    <mergeCell ref="B37:C37"/>
    <mergeCell ref="B38:C38"/>
  </mergeCells>
  <phoneticPr fontId="2" type="noConversion"/>
  <pageMargins left="0.39370078740157483" right="0.39370078740157483" top="0.59055118110236227" bottom="0.43307086614173229" header="0.31496062992125984" footer="0.31496062992125984"/>
  <pageSetup paperSize="9" scale="45" orientation="landscape" r:id="rId1"/>
  <headerFooter alignWithMargins="0">
    <oddFooter>&amp;R&amp;11&amp;F/&amp;A/PP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9">
    <tabColor indexed="14"/>
    <pageSetUpPr fitToPage="1"/>
  </sheetPr>
  <dimension ref="A1:N91"/>
  <sheetViews>
    <sheetView workbookViewId="0">
      <selection activeCell="A13" sqref="A13"/>
    </sheetView>
  </sheetViews>
  <sheetFormatPr defaultRowHeight="15" x14ac:dyDescent="0.2"/>
  <cols>
    <col min="1" max="1" width="6.21875" style="21" customWidth="1"/>
    <col min="2" max="2" width="8.21875" style="21" customWidth="1"/>
    <col min="3" max="3" width="12.77734375" style="21" customWidth="1"/>
    <col min="4" max="6" width="14.77734375" style="21" customWidth="1"/>
    <col min="7" max="7" width="9.6640625" style="21" hidden="1" customWidth="1"/>
    <col min="8" max="8" width="13.88671875" style="21" customWidth="1"/>
    <col min="9" max="9" width="3.77734375" style="21" customWidth="1"/>
    <col min="10" max="10" width="10" style="21" customWidth="1"/>
    <col min="11" max="11" width="3" style="21" customWidth="1"/>
    <col min="12" max="12" width="10.6640625" style="21" customWidth="1"/>
    <col min="13" max="13" width="5.88671875" style="21" customWidth="1"/>
    <col min="14" max="16384" width="8.88671875" style="21"/>
  </cols>
  <sheetData>
    <row r="1" spans="1:14" ht="24" customHeight="1" x14ac:dyDescent="0.35">
      <c r="A1" s="398" t="str">
        <f>'Díjak és etapok'!C5</f>
        <v>PTE ÁOK</v>
      </c>
      <c r="B1" s="398"/>
      <c r="L1" s="399">
        <f>'Díjak és etapok'!C6</f>
        <v>2025</v>
      </c>
      <c r="M1" s="400"/>
    </row>
    <row r="2" spans="1:14" ht="36" customHeight="1" x14ac:dyDescent="0.25">
      <c r="A2" s="401" t="s">
        <v>119</v>
      </c>
      <c r="B2" s="402"/>
      <c r="C2" s="402"/>
      <c r="D2" s="402"/>
      <c r="E2" s="402"/>
      <c r="F2" s="402"/>
      <c r="G2" s="32"/>
    </row>
    <row r="3" spans="1:14" x14ac:dyDescent="0.2">
      <c r="A3" s="403" t="str">
        <f>'Tantárgyi törzsadatok'!A3:J3</f>
        <v>2024/2025. tanév II. félév - tavaszi szemeszter</v>
      </c>
      <c r="B3" s="403"/>
      <c r="C3" s="403"/>
      <c r="D3" s="403"/>
      <c r="E3" s="403"/>
      <c r="F3" s="403"/>
      <c r="G3" s="33"/>
      <c r="H3" s="396" t="s">
        <v>72</v>
      </c>
      <c r="I3" s="396"/>
      <c r="J3" s="396"/>
      <c r="K3" s="404"/>
      <c r="L3" s="404"/>
      <c r="M3" s="404"/>
    </row>
    <row r="4" spans="1:14" x14ac:dyDescent="0.2">
      <c r="F4" s="178"/>
      <c r="G4" s="178" t="s">
        <v>73</v>
      </c>
    </row>
    <row r="5" spans="1:14" ht="15.75" x14ac:dyDescent="0.25">
      <c r="A5" s="386" t="s">
        <v>10</v>
      </c>
      <c r="B5" s="386"/>
      <c r="C5" s="386"/>
      <c r="D5" s="279" t="str">
        <f>'Tantárgyi törzsadatok'!C7</f>
        <v>magyar</v>
      </c>
      <c r="E5" s="68"/>
      <c r="F5" s="396"/>
      <c r="G5" s="396"/>
      <c r="H5" s="396"/>
      <c r="I5" s="396"/>
      <c r="J5" s="396"/>
      <c r="K5" s="180"/>
      <c r="L5" s="405"/>
      <c r="M5" s="405"/>
    </row>
    <row r="6" spans="1:14" x14ac:dyDescent="0.2">
      <c r="A6" s="386" t="s">
        <v>14</v>
      </c>
      <c r="B6" s="386"/>
      <c r="C6" s="386"/>
      <c r="D6" s="387">
        <f>'Tantárgyi törzsadatok'!C8</f>
        <v>0</v>
      </c>
      <c r="E6" s="388"/>
      <c r="F6" s="388"/>
      <c r="K6" s="251"/>
      <c r="L6" s="251"/>
      <c r="M6" s="251"/>
    </row>
    <row r="7" spans="1:14" ht="15.75" x14ac:dyDescent="0.25">
      <c r="A7" s="386" t="s">
        <v>35</v>
      </c>
      <c r="B7" s="386"/>
      <c r="C7" s="386"/>
      <c r="D7" s="393">
        <f>'Tantárgyi törzsadatok'!C9</f>
        <v>0</v>
      </c>
      <c r="E7" s="394"/>
      <c r="F7" s="395"/>
      <c r="H7" s="396"/>
      <c r="I7" s="396"/>
      <c r="J7" s="396"/>
      <c r="K7" s="397"/>
      <c r="L7" s="397"/>
      <c r="M7" s="397"/>
      <c r="N7" s="162"/>
    </row>
    <row r="8" spans="1:14" x14ac:dyDescent="0.2">
      <c r="A8" s="386" t="s">
        <v>25</v>
      </c>
      <c r="B8" s="386"/>
      <c r="C8" s="386"/>
      <c r="D8" s="387" t="str">
        <f>'Tantárgyi törzsadatok'!C10</f>
        <v>Szaktárgy</v>
      </c>
      <c r="E8" s="388"/>
      <c r="F8" s="388"/>
    </row>
    <row r="9" spans="1:14" x14ac:dyDescent="0.2">
      <c r="A9" s="386" t="s">
        <v>13</v>
      </c>
      <c r="B9" s="386"/>
      <c r="C9" s="386"/>
      <c r="D9" s="387">
        <f>'Tantárgyi törzsadatok'!C11</f>
        <v>0</v>
      </c>
      <c r="E9" s="388"/>
      <c r="F9" s="388"/>
      <c r="H9" s="33"/>
      <c r="I9" s="157">
        <v>1</v>
      </c>
      <c r="J9" s="179" t="s">
        <v>60</v>
      </c>
    </row>
    <row r="10" spans="1:14" x14ac:dyDescent="0.2">
      <c r="A10" s="386" t="s">
        <v>15</v>
      </c>
      <c r="B10" s="386"/>
      <c r="C10" s="386"/>
      <c r="D10" s="387">
        <f>'Tantárgyi törzsadatok'!C12</f>
        <v>0</v>
      </c>
      <c r="E10" s="388"/>
      <c r="F10" s="388"/>
      <c r="I10" s="158" t="s">
        <v>58</v>
      </c>
      <c r="J10" s="159">
        <f>VLOOKUP($I$9,'Díjak és etapok'!$B$21:$E$22,2)</f>
        <v>45691</v>
      </c>
      <c r="K10" s="160" t="s">
        <v>47</v>
      </c>
      <c r="L10" s="159">
        <f>VLOOKUP($I$9,'Díjak és etapok'!$B$21:$E$22,3)</f>
        <v>45737</v>
      </c>
      <c r="M10" s="21" t="s">
        <v>59</v>
      </c>
    </row>
    <row r="11" spans="1:14" x14ac:dyDescent="0.2">
      <c r="A11" s="386" t="s">
        <v>28</v>
      </c>
      <c r="B11" s="386"/>
      <c r="C11" s="386"/>
      <c r="D11" s="387">
        <f>'Tantárgyi törzsadatok'!C13</f>
        <v>0</v>
      </c>
      <c r="E11" s="388"/>
      <c r="F11" s="388"/>
    </row>
    <row r="12" spans="1:14" ht="18.75" customHeight="1" x14ac:dyDescent="0.2">
      <c r="A12" s="35"/>
    </row>
    <row r="13" spans="1:14" ht="15.75" customHeight="1" x14ac:dyDescent="0.25">
      <c r="A13" s="75"/>
      <c r="B13" s="382" t="s">
        <v>33</v>
      </c>
      <c r="C13" s="382"/>
      <c r="D13" s="389" t="str">
        <f>IF(A13="","",VLOOKUP($A$13,'Tantárgyi törzsadatok'!$A$16:$J$45,2))</f>
        <v/>
      </c>
      <c r="E13" s="390"/>
      <c r="F13" s="391"/>
      <c r="H13" s="392" t="s">
        <v>159</v>
      </c>
      <c r="I13" s="392"/>
      <c r="J13" s="392"/>
      <c r="K13" s="392"/>
      <c r="L13" s="392"/>
      <c r="M13" s="392"/>
    </row>
    <row r="14" spans="1:14" ht="15.75" x14ac:dyDescent="0.25">
      <c r="A14" s="35"/>
      <c r="B14" s="382" t="s">
        <v>34</v>
      </c>
      <c r="C14" s="382"/>
      <c r="D14" s="389" t="str">
        <f>IF(A13="","",VLOOKUP($A$13,'Tantárgyi törzsadatok'!$A$16:$J$45,7))</f>
        <v/>
      </c>
      <c r="E14" s="390"/>
      <c r="F14" s="391"/>
    </row>
    <row r="15" spans="1:14" ht="15.75" x14ac:dyDescent="0.25">
      <c r="A15" s="35"/>
      <c r="B15" s="382" t="s">
        <v>16</v>
      </c>
      <c r="C15" s="382"/>
      <c r="D15" s="383" t="str">
        <f>IF(A13="","",VLOOKUP($A$13,'Tantárgyi törzsadatok'!$A$16:$J$45,9))</f>
        <v/>
      </c>
      <c r="E15" s="384"/>
      <c r="F15" s="385"/>
      <c r="G15" s="21" t="e">
        <f>VLOOKUP(A13,'Tantárgyi törzsadatok'!$A$16:$J$45,8)</f>
        <v>#N/A</v>
      </c>
      <c r="J15" s="174">
        <f>L10+7</f>
        <v>45744</v>
      </c>
      <c r="K15" s="172"/>
      <c r="L15" s="172"/>
    </row>
    <row r="16" spans="1:14" ht="15.75" thickBot="1" x14ac:dyDescent="0.25">
      <c r="H16" s="173"/>
      <c r="I16" s="173"/>
      <c r="J16" s="173"/>
    </row>
    <row r="17" spans="2:11" ht="61.5" thickTop="1" thickBot="1" x14ac:dyDescent="0.25">
      <c r="B17" s="36" t="s">
        <v>27</v>
      </c>
      <c r="C17" s="37" t="s">
        <v>7</v>
      </c>
      <c r="D17" s="38" t="s">
        <v>110</v>
      </c>
      <c r="E17" s="38" t="s">
        <v>111</v>
      </c>
      <c r="F17" s="39" t="s">
        <v>112</v>
      </c>
    </row>
    <row r="18" spans="2:11" ht="15.75" thickTop="1" x14ac:dyDescent="0.2">
      <c r="B18" s="373" t="s">
        <v>29</v>
      </c>
      <c r="C18" s="282">
        <f>J10</f>
        <v>45691</v>
      </c>
      <c r="D18" s="69"/>
      <c r="E18" s="70"/>
      <c r="F18" s="71"/>
      <c r="H18" s="376" t="str">
        <f t="shared" ref="H18:H20" si="0">IF(AND(F18&gt;0,$D$8&lt;&gt;"Szaktárgy"),"nem jó a kitöltés!","")</f>
        <v/>
      </c>
      <c r="I18" s="376"/>
      <c r="J18" s="377" t="str">
        <f t="shared" ref="J18:J23" si="1">IF(AND(OR(D18&gt;0,E18&gt;0),$D$8&lt;&gt;"Szaktárgy"),"nem jó a kitöltés!","")</f>
        <v/>
      </c>
      <c r="K18" s="377"/>
    </row>
    <row r="19" spans="2:11" x14ac:dyDescent="0.2">
      <c r="B19" s="374"/>
      <c r="C19" s="283">
        <f>C18+1</f>
        <v>45692</v>
      </c>
      <c r="D19" s="72"/>
      <c r="E19" s="73"/>
      <c r="F19" s="74"/>
      <c r="H19" s="376" t="str">
        <f t="shared" si="0"/>
        <v/>
      </c>
      <c r="I19" s="376"/>
      <c r="J19" s="377" t="str">
        <f t="shared" si="1"/>
        <v/>
      </c>
      <c r="K19" s="377"/>
    </row>
    <row r="20" spans="2:11" x14ac:dyDescent="0.2">
      <c r="B20" s="374"/>
      <c r="C20" s="283">
        <f>C19+1</f>
        <v>45693</v>
      </c>
      <c r="D20" s="72"/>
      <c r="E20" s="73"/>
      <c r="F20" s="74"/>
      <c r="H20" s="376" t="str">
        <f t="shared" si="0"/>
        <v/>
      </c>
      <c r="I20" s="376"/>
      <c r="J20" s="377" t="str">
        <f t="shared" si="1"/>
        <v/>
      </c>
      <c r="K20" s="377"/>
    </row>
    <row r="21" spans="2:11" x14ac:dyDescent="0.2">
      <c r="B21" s="374"/>
      <c r="C21" s="283">
        <f>C20+1</f>
        <v>45694</v>
      </c>
      <c r="D21" s="261"/>
      <c r="E21" s="263"/>
      <c r="F21" s="262"/>
      <c r="H21" s="376" t="str">
        <f>IF(AND(F21&gt;0,$D$8&lt;&gt;"Szaktárgy"),"nem jó a kitöltés!","")</f>
        <v/>
      </c>
      <c r="I21" s="376"/>
      <c r="J21" s="377" t="str">
        <f t="shared" si="1"/>
        <v/>
      </c>
      <c r="K21" s="377"/>
    </row>
    <row r="22" spans="2:11" x14ac:dyDescent="0.2">
      <c r="B22" s="374"/>
      <c r="C22" s="283">
        <f>C21+1</f>
        <v>45695</v>
      </c>
      <c r="D22" s="261"/>
      <c r="E22" s="263"/>
      <c r="F22" s="262"/>
      <c r="H22" s="376" t="str">
        <f>IF(AND(F22&gt;0,$D$8&lt;&gt;"Szaktárgy"),"nem jó a kitöltés!","")</f>
        <v/>
      </c>
      <c r="I22" s="376"/>
      <c r="J22" s="377" t="str">
        <f t="shared" si="1"/>
        <v/>
      </c>
      <c r="K22" s="377"/>
    </row>
    <row r="23" spans="2:11" ht="15.75" thickBot="1" x14ac:dyDescent="0.25">
      <c r="B23" s="375"/>
      <c r="C23" s="284">
        <f>C22+1</f>
        <v>45696</v>
      </c>
      <c r="D23" s="285"/>
      <c r="E23" s="286"/>
      <c r="F23" s="287"/>
      <c r="H23" s="376" t="str">
        <f>IF(AND(F23&gt;0,$D$8&lt;&gt;"Szaktárgy"),"nem jó a kitöltés!","")</f>
        <v/>
      </c>
      <c r="I23" s="376"/>
      <c r="J23" s="377" t="str">
        <f t="shared" si="1"/>
        <v/>
      </c>
      <c r="K23" s="377"/>
    </row>
    <row r="24" spans="2:11" ht="17.25" thickTop="1" thickBot="1" x14ac:dyDescent="0.3">
      <c r="B24" s="380" t="s">
        <v>6</v>
      </c>
      <c r="C24" s="381"/>
      <c r="D24" s="40">
        <f>SUM(D18:D23)</f>
        <v>0</v>
      </c>
      <c r="E24" s="41">
        <f>SUM(E18:E23)</f>
        <v>0</v>
      </c>
      <c r="F24" s="42">
        <f>SUM(F18:F23)</f>
        <v>0</v>
      </c>
      <c r="J24" s="377"/>
      <c r="K24" s="377"/>
    </row>
    <row r="25" spans="2:11" ht="15.75" thickTop="1" x14ac:dyDescent="0.2">
      <c r="B25" s="373" t="s">
        <v>30</v>
      </c>
      <c r="C25" s="282">
        <f>C22+3</f>
        <v>45698</v>
      </c>
      <c r="D25" s="69"/>
      <c r="E25" s="70"/>
      <c r="F25" s="71"/>
      <c r="H25" s="376" t="str">
        <f t="shared" ref="H25:H27" si="2">IF(AND(F25&gt;0,$D$8&lt;&gt;"Szaktárgy"),"nem jó a kitöltés!","")</f>
        <v/>
      </c>
      <c r="I25" s="376"/>
      <c r="J25" s="377" t="str">
        <f t="shared" ref="J25:J30" si="3">IF(AND(OR(D25&gt;0,E25&gt;0),$D$8&lt;&gt;"Szaktárgy"),"nem jó a kitöltés!","")</f>
        <v/>
      </c>
      <c r="K25" s="377"/>
    </row>
    <row r="26" spans="2:11" x14ac:dyDescent="0.2">
      <c r="B26" s="374"/>
      <c r="C26" s="283">
        <f>C25+1</f>
        <v>45699</v>
      </c>
      <c r="D26" s="72"/>
      <c r="E26" s="73"/>
      <c r="F26" s="74"/>
      <c r="H26" s="376" t="str">
        <f t="shared" si="2"/>
        <v/>
      </c>
      <c r="I26" s="376"/>
      <c r="J26" s="377" t="str">
        <f t="shared" si="3"/>
        <v/>
      </c>
      <c r="K26" s="377"/>
    </row>
    <row r="27" spans="2:11" x14ac:dyDescent="0.2">
      <c r="B27" s="374"/>
      <c r="C27" s="283">
        <f>C26+1</f>
        <v>45700</v>
      </c>
      <c r="D27" s="72"/>
      <c r="E27" s="73"/>
      <c r="F27" s="74"/>
      <c r="H27" s="376" t="str">
        <f t="shared" si="2"/>
        <v/>
      </c>
      <c r="I27" s="376"/>
      <c r="J27" s="377" t="str">
        <f t="shared" si="3"/>
        <v/>
      </c>
      <c r="K27" s="377"/>
    </row>
    <row r="28" spans="2:11" x14ac:dyDescent="0.2">
      <c r="B28" s="374"/>
      <c r="C28" s="283">
        <f>C27+1</f>
        <v>45701</v>
      </c>
      <c r="D28" s="261"/>
      <c r="E28" s="263"/>
      <c r="F28" s="262"/>
      <c r="H28" s="376" t="str">
        <f>IF(AND(F28&gt;0,$D$8&lt;&gt;"Szaktárgy"),"nem jó a kitöltés!","")</f>
        <v/>
      </c>
      <c r="I28" s="376"/>
      <c r="J28" s="377" t="str">
        <f t="shared" si="3"/>
        <v/>
      </c>
      <c r="K28" s="377"/>
    </row>
    <row r="29" spans="2:11" x14ac:dyDescent="0.2">
      <c r="B29" s="374"/>
      <c r="C29" s="283">
        <f>C28+1</f>
        <v>45702</v>
      </c>
      <c r="D29" s="261"/>
      <c r="E29" s="263"/>
      <c r="F29" s="262"/>
      <c r="H29" s="376" t="str">
        <f>IF(AND(F29&gt;0,$D$8&lt;&gt;"Szaktárgy"),"nem jó a kitöltés!","")</f>
        <v/>
      </c>
      <c r="I29" s="376"/>
      <c r="J29" s="377" t="str">
        <f t="shared" si="3"/>
        <v/>
      </c>
      <c r="K29" s="377"/>
    </row>
    <row r="30" spans="2:11" ht="15.75" thickBot="1" x14ac:dyDescent="0.25">
      <c r="B30" s="375"/>
      <c r="C30" s="284">
        <f>C29+1</f>
        <v>45703</v>
      </c>
      <c r="D30" s="285"/>
      <c r="E30" s="286"/>
      <c r="F30" s="287"/>
      <c r="H30" s="376" t="str">
        <f>IF(AND(F30&gt;0,$D$8&lt;&gt;"Szaktárgy"),"nem jó a kitöltés!","")</f>
        <v/>
      </c>
      <c r="I30" s="376"/>
      <c r="J30" s="377" t="str">
        <f t="shared" si="3"/>
        <v/>
      </c>
      <c r="K30" s="377"/>
    </row>
    <row r="31" spans="2:11" ht="17.25" thickTop="1" thickBot="1" x14ac:dyDescent="0.3">
      <c r="B31" s="380" t="s">
        <v>6</v>
      </c>
      <c r="C31" s="381"/>
      <c r="D31" s="40">
        <f>SUM(D25:D30)</f>
        <v>0</v>
      </c>
      <c r="E31" s="41">
        <f>SUM(E25:E30)</f>
        <v>0</v>
      </c>
      <c r="F31" s="42">
        <f>SUM(F25:F30)</f>
        <v>0</v>
      </c>
      <c r="J31" s="377"/>
      <c r="K31" s="377"/>
    </row>
    <row r="32" spans="2:11" ht="15.75" thickTop="1" x14ac:dyDescent="0.2">
      <c r="B32" s="373" t="s">
        <v>31</v>
      </c>
      <c r="C32" s="282">
        <f>C29+3</f>
        <v>45705</v>
      </c>
      <c r="D32" s="69"/>
      <c r="E32" s="70"/>
      <c r="F32" s="71"/>
      <c r="H32" s="376" t="str">
        <f t="shared" ref="H32:H34" si="4">IF(AND(F32&gt;0,$D$8&lt;&gt;"Szaktárgy"),"nem jó a kitöltés!","")</f>
        <v/>
      </c>
      <c r="I32" s="376"/>
      <c r="J32" s="377" t="str">
        <f t="shared" ref="J32:J37" si="5">IF(AND(OR(D32&gt;0,E32&gt;0),$D$8&lt;&gt;"Szaktárgy"),"nem jó a kitöltés!","")</f>
        <v/>
      </c>
      <c r="K32" s="377"/>
    </row>
    <row r="33" spans="2:11" x14ac:dyDescent="0.2">
      <c r="B33" s="374"/>
      <c r="C33" s="283">
        <f>C32+1</f>
        <v>45706</v>
      </c>
      <c r="D33" s="72"/>
      <c r="E33" s="73"/>
      <c r="F33" s="74"/>
      <c r="H33" s="376" t="str">
        <f t="shared" si="4"/>
        <v/>
      </c>
      <c r="I33" s="376"/>
      <c r="J33" s="377" t="str">
        <f t="shared" si="5"/>
        <v/>
      </c>
      <c r="K33" s="377"/>
    </row>
    <row r="34" spans="2:11" x14ac:dyDescent="0.2">
      <c r="B34" s="374"/>
      <c r="C34" s="283">
        <f>C33+1</f>
        <v>45707</v>
      </c>
      <c r="D34" s="72"/>
      <c r="E34" s="73"/>
      <c r="F34" s="74"/>
      <c r="H34" s="376" t="str">
        <f t="shared" si="4"/>
        <v/>
      </c>
      <c r="I34" s="376"/>
      <c r="J34" s="377" t="str">
        <f t="shared" si="5"/>
        <v/>
      </c>
      <c r="K34" s="377"/>
    </row>
    <row r="35" spans="2:11" x14ac:dyDescent="0.2">
      <c r="B35" s="374"/>
      <c r="C35" s="290">
        <f>C34+1</f>
        <v>45708</v>
      </c>
      <c r="D35" s="291"/>
      <c r="E35" s="263"/>
      <c r="F35" s="262"/>
      <c r="H35" s="376" t="str">
        <f>IF(AND(F35&gt;0,$D$8&lt;&gt;"Szaktárgy"),"nem jó a kitöltés!","")</f>
        <v/>
      </c>
      <c r="I35" s="376"/>
      <c r="J35" s="377" t="str">
        <f t="shared" si="5"/>
        <v/>
      </c>
      <c r="K35" s="377"/>
    </row>
    <row r="36" spans="2:11" x14ac:dyDescent="0.2">
      <c r="B36" s="374"/>
      <c r="C36" s="290">
        <f>C35+1</f>
        <v>45709</v>
      </c>
      <c r="D36" s="291"/>
      <c r="E36" s="292"/>
      <c r="F36" s="293"/>
      <c r="H36" s="376" t="str">
        <f>IF(AND(F36&gt;0,$D$8&lt;&gt;"Szaktárgy"),"nem jó a kitöltés!","")</f>
        <v/>
      </c>
      <c r="I36" s="376"/>
      <c r="J36" s="377" t="str">
        <f t="shared" si="5"/>
        <v/>
      </c>
      <c r="K36" s="377"/>
    </row>
    <row r="37" spans="2:11" ht="15.75" thickBot="1" x14ac:dyDescent="0.25">
      <c r="B37" s="375"/>
      <c r="C37" s="284">
        <f>C36+1</f>
        <v>45710</v>
      </c>
      <c r="D37" s="285"/>
      <c r="E37" s="286"/>
      <c r="F37" s="287"/>
      <c r="H37" s="376" t="str">
        <f>IF(AND(F37&gt;0,$D$8&lt;&gt;"Szaktárgy"),"nem jó a kitöltés!","")</f>
        <v/>
      </c>
      <c r="I37" s="376"/>
      <c r="J37" s="377" t="str">
        <f t="shared" si="5"/>
        <v/>
      </c>
      <c r="K37" s="377"/>
    </row>
    <row r="38" spans="2:11" ht="17.25" thickTop="1" thickBot="1" x14ac:dyDescent="0.3">
      <c r="B38" s="380" t="s">
        <v>6</v>
      </c>
      <c r="C38" s="381"/>
      <c r="D38" s="40">
        <f>SUM(D32:D37)</f>
        <v>0</v>
      </c>
      <c r="E38" s="41">
        <f>SUM(E32:E37)</f>
        <v>0</v>
      </c>
      <c r="F38" s="42">
        <f>SUM(F32:F37)</f>
        <v>0</v>
      </c>
      <c r="J38" s="377"/>
      <c r="K38" s="377"/>
    </row>
    <row r="39" spans="2:11" ht="15.75" thickTop="1" x14ac:dyDescent="0.2">
      <c r="B39" s="373" t="s">
        <v>36</v>
      </c>
      <c r="C39" s="282">
        <f>C36+3</f>
        <v>45712</v>
      </c>
      <c r="D39" s="294"/>
      <c r="E39" s="295"/>
      <c r="F39" s="296"/>
      <c r="H39" s="376" t="str">
        <f t="shared" ref="H39:H41" si="6">IF(AND(F39&gt;0,$D$8&lt;&gt;"Szaktárgy"),"nem jó a kitöltés!","")</f>
        <v/>
      </c>
      <c r="I39" s="376"/>
      <c r="J39" s="377" t="str">
        <f t="shared" ref="J39:J44" si="7">IF(AND(OR(D39&gt;0,E39&gt;0),$D$8&lt;&gt;"Szaktárgy"),"nem jó a kitöltés!","")</f>
        <v/>
      </c>
      <c r="K39" s="377"/>
    </row>
    <row r="40" spans="2:11" x14ac:dyDescent="0.2">
      <c r="B40" s="374"/>
      <c r="C40" s="283">
        <f>C39+1</f>
        <v>45713</v>
      </c>
      <c r="D40" s="72"/>
      <c r="E40" s="73"/>
      <c r="F40" s="74"/>
      <c r="H40" s="376" t="str">
        <f t="shared" si="6"/>
        <v/>
      </c>
      <c r="I40" s="376"/>
      <c r="J40" s="377" t="str">
        <f t="shared" si="7"/>
        <v/>
      </c>
      <c r="K40" s="377"/>
    </row>
    <row r="41" spans="2:11" x14ac:dyDescent="0.2">
      <c r="B41" s="374"/>
      <c r="C41" s="283">
        <f>C40+1</f>
        <v>45714</v>
      </c>
      <c r="D41" s="72"/>
      <c r="E41" s="73"/>
      <c r="F41" s="74"/>
      <c r="H41" s="376" t="str">
        <f t="shared" si="6"/>
        <v/>
      </c>
      <c r="I41" s="376"/>
      <c r="J41" s="377" t="str">
        <f t="shared" si="7"/>
        <v/>
      </c>
      <c r="K41" s="377"/>
    </row>
    <row r="42" spans="2:11" x14ac:dyDescent="0.2">
      <c r="B42" s="374"/>
      <c r="C42" s="283">
        <f>C41+1</f>
        <v>45715</v>
      </c>
      <c r="D42" s="261"/>
      <c r="E42" s="263"/>
      <c r="F42" s="262"/>
      <c r="H42" s="376" t="str">
        <f>IF(AND(F42&gt;0,$D$8&lt;&gt;"Szaktárgy"),"nem jó a kitöltés!","")</f>
        <v/>
      </c>
      <c r="I42" s="376"/>
      <c r="J42" s="377" t="str">
        <f t="shared" si="7"/>
        <v/>
      </c>
      <c r="K42" s="377"/>
    </row>
    <row r="43" spans="2:11" x14ac:dyDescent="0.2">
      <c r="B43" s="374"/>
      <c r="C43" s="283">
        <f>C42+1</f>
        <v>45716</v>
      </c>
      <c r="D43" s="261"/>
      <c r="E43" s="263"/>
      <c r="F43" s="262"/>
      <c r="H43" s="376" t="str">
        <f>IF(AND(F43&gt;0,$D$8&lt;&gt;"Szaktárgy"),"nem jó a kitöltés!","")</f>
        <v/>
      </c>
      <c r="I43" s="376"/>
      <c r="J43" s="377" t="str">
        <f t="shared" si="7"/>
        <v/>
      </c>
      <c r="K43" s="377"/>
    </row>
    <row r="44" spans="2:11" ht="15.75" thickBot="1" x14ac:dyDescent="0.25">
      <c r="B44" s="375"/>
      <c r="C44" s="284">
        <f>C43+1</f>
        <v>45717</v>
      </c>
      <c r="D44" s="285"/>
      <c r="E44" s="286"/>
      <c r="F44" s="287"/>
      <c r="H44" s="376" t="str">
        <f>IF(AND(F44&gt;0,$D$8&lt;&gt;"Szaktárgy"),"nem jó a kitöltés!","")</f>
        <v/>
      </c>
      <c r="I44" s="376"/>
      <c r="J44" s="377" t="str">
        <f t="shared" si="7"/>
        <v/>
      </c>
      <c r="K44" s="377"/>
    </row>
    <row r="45" spans="2:11" ht="17.25" thickTop="1" thickBot="1" x14ac:dyDescent="0.3">
      <c r="B45" s="380" t="s">
        <v>6</v>
      </c>
      <c r="C45" s="381"/>
      <c r="D45" s="40">
        <f>SUM(D39:D44)</f>
        <v>0</v>
      </c>
      <c r="E45" s="41">
        <f>SUM(E39:E44)</f>
        <v>0</v>
      </c>
      <c r="F45" s="42">
        <f>SUM(F39:F44)</f>
        <v>0</v>
      </c>
      <c r="J45" s="377"/>
      <c r="K45" s="377"/>
    </row>
    <row r="46" spans="2:11" ht="15.75" thickTop="1" x14ac:dyDescent="0.2">
      <c r="B46" s="373" t="s">
        <v>37</v>
      </c>
      <c r="C46" s="282">
        <f>C43+3</f>
        <v>45719</v>
      </c>
      <c r="D46" s="69"/>
      <c r="E46" s="70"/>
      <c r="F46" s="71"/>
      <c r="H46" s="376" t="str">
        <f t="shared" ref="H46:H48" si="8">IF(AND(F46&gt;0,$D$8&lt;&gt;"Szaktárgy"),"nem jó a kitöltés!","")</f>
        <v/>
      </c>
      <c r="I46" s="376"/>
      <c r="J46" s="377" t="str">
        <f t="shared" ref="J46:J51" si="9">IF(AND(OR(D46&gt;0,E46&gt;0),$D$8&lt;&gt;"Szaktárgy"),"nem jó a kitöltés!","")</f>
        <v/>
      </c>
      <c r="K46" s="377"/>
    </row>
    <row r="47" spans="2:11" x14ac:dyDescent="0.2">
      <c r="B47" s="374"/>
      <c r="C47" s="283">
        <f>C46+1</f>
        <v>45720</v>
      </c>
      <c r="D47" s="72"/>
      <c r="E47" s="73"/>
      <c r="F47" s="74"/>
      <c r="H47" s="376" t="str">
        <f t="shared" si="8"/>
        <v/>
      </c>
      <c r="I47" s="376"/>
      <c r="J47" s="377" t="str">
        <f t="shared" si="9"/>
        <v/>
      </c>
      <c r="K47" s="377"/>
    </row>
    <row r="48" spans="2:11" x14ac:dyDescent="0.2">
      <c r="B48" s="374"/>
      <c r="C48" s="283">
        <f>C47+1</f>
        <v>45721</v>
      </c>
      <c r="D48" s="72"/>
      <c r="E48" s="73"/>
      <c r="F48" s="74"/>
      <c r="H48" s="376" t="str">
        <f t="shared" si="8"/>
        <v/>
      </c>
      <c r="I48" s="376"/>
      <c r="J48" s="377" t="str">
        <f t="shared" si="9"/>
        <v/>
      </c>
      <c r="K48" s="377"/>
    </row>
    <row r="49" spans="2:11" x14ac:dyDescent="0.2">
      <c r="B49" s="374"/>
      <c r="C49" s="283">
        <f>C48+1</f>
        <v>45722</v>
      </c>
      <c r="D49" s="261"/>
      <c r="E49" s="263"/>
      <c r="F49" s="262"/>
      <c r="H49" s="376" t="str">
        <f>IF(AND(F49&gt;0,$D$8&lt;&gt;"Szaktárgy"),"nem jó a kitöltés!","")</f>
        <v/>
      </c>
      <c r="I49" s="376"/>
      <c r="J49" s="377" t="str">
        <f t="shared" si="9"/>
        <v/>
      </c>
      <c r="K49" s="377"/>
    </row>
    <row r="50" spans="2:11" x14ac:dyDescent="0.2">
      <c r="B50" s="374"/>
      <c r="C50" s="283">
        <f>C49+1</f>
        <v>45723</v>
      </c>
      <c r="D50" s="261"/>
      <c r="E50" s="263"/>
      <c r="F50" s="262"/>
      <c r="H50" s="376" t="str">
        <f>IF(AND(F50&gt;0,$D$8&lt;&gt;"Szaktárgy"),"nem jó a kitöltés!","")</f>
        <v/>
      </c>
      <c r="I50" s="376"/>
      <c r="J50" s="377" t="str">
        <f t="shared" si="9"/>
        <v/>
      </c>
      <c r="K50" s="377"/>
    </row>
    <row r="51" spans="2:11" ht="15.75" thickBot="1" x14ac:dyDescent="0.25">
      <c r="B51" s="375"/>
      <c r="C51" s="284">
        <f>C50+1</f>
        <v>45724</v>
      </c>
      <c r="D51" s="285"/>
      <c r="E51" s="286"/>
      <c r="F51" s="287"/>
      <c r="H51" s="376" t="str">
        <f>IF(AND(F51&gt;0,$D$8&lt;&gt;"Szaktárgy"),"nem jó a kitöltés!","")</f>
        <v/>
      </c>
      <c r="I51" s="376"/>
      <c r="J51" s="377" t="str">
        <f t="shared" si="9"/>
        <v/>
      </c>
      <c r="K51" s="377"/>
    </row>
    <row r="52" spans="2:11" ht="17.25" thickTop="1" thickBot="1" x14ac:dyDescent="0.3">
      <c r="B52" s="380" t="s">
        <v>6</v>
      </c>
      <c r="C52" s="381"/>
      <c r="D52" s="40">
        <f>SUM(D46:D51)</f>
        <v>0</v>
      </c>
      <c r="E52" s="41">
        <f>SUM(E46:E51)</f>
        <v>0</v>
      </c>
      <c r="F52" s="42">
        <f>SUM(F46:F51)</f>
        <v>0</v>
      </c>
      <c r="J52" s="377"/>
      <c r="K52" s="377"/>
    </row>
    <row r="53" spans="2:11" ht="15.75" thickTop="1" x14ac:dyDescent="0.2">
      <c r="B53" s="373" t="s">
        <v>38</v>
      </c>
      <c r="C53" s="282">
        <f>C50+3</f>
        <v>45726</v>
      </c>
      <c r="D53" s="294"/>
      <c r="E53" s="295"/>
      <c r="F53" s="296"/>
      <c r="H53" s="376" t="str">
        <f t="shared" ref="H53:H55" si="10">IF(AND(F53&gt;0,$D$8&lt;&gt;"Szaktárgy"),"nem jó a kitöltés!","")</f>
        <v/>
      </c>
      <c r="I53" s="376"/>
      <c r="J53" s="377" t="str">
        <f t="shared" ref="J53:J58" si="11">IF(AND(OR(D53&gt;0,E53&gt;0),$D$8&lt;&gt;"Szaktárgy"),"nem jó a kitöltés!","")</f>
        <v/>
      </c>
      <c r="K53" s="377"/>
    </row>
    <row r="54" spans="2:11" x14ac:dyDescent="0.2">
      <c r="B54" s="374"/>
      <c r="C54" s="290">
        <f>C53+1</f>
        <v>45727</v>
      </c>
      <c r="D54" s="297"/>
      <c r="E54" s="298"/>
      <c r="F54" s="299"/>
      <c r="H54" s="376" t="str">
        <f t="shared" si="10"/>
        <v/>
      </c>
      <c r="I54" s="376"/>
      <c r="J54" s="377" t="str">
        <f t="shared" si="11"/>
        <v/>
      </c>
      <c r="K54" s="377"/>
    </row>
    <row r="55" spans="2:11" x14ac:dyDescent="0.2">
      <c r="B55" s="374"/>
      <c r="C55" s="283">
        <f>C54+1</f>
        <v>45728</v>
      </c>
      <c r="D55" s="72"/>
      <c r="E55" s="73"/>
      <c r="F55" s="74"/>
      <c r="H55" s="376" t="str">
        <f t="shared" si="10"/>
        <v/>
      </c>
      <c r="I55" s="376"/>
      <c r="J55" s="377" t="str">
        <f t="shared" si="11"/>
        <v/>
      </c>
      <c r="K55" s="377"/>
    </row>
    <row r="56" spans="2:11" x14ac:dyDescent="0.2">
      <c r="B56" s="374"/>
      <c r="C56" s="290">
        <f>C55+1</f>
        <v>45729</v>
      </c>
      <c r="D56" s="291"/>
      <c r="E56" s="292"/>
      <c r="F56" s="293"/>
      <c r="H56" s="376" t="str">
        <f>IF(AND(F56&gt;0,$D$8&lt;&gt;"Szaktárgy"),"nem jó a kitöltés!","")</f>
        <v/>
      </c>
      <c r="I56" s="376"/>
      <c r="J56" s="377" t="str">
        <f t="shared" si="11"/>
        <v/>
      </c>
      <c r="K56" s="377"/>
    </row>
    <row r="57" spans="2:11" x14ac:dyDescent="0.2">
      <c r="B57" s="374"/>
      <c r="C57" s="283">
        <f>C56+1</f>
        <v>45730</v>
      </c>
      <c r="D57" s="72"/>
      <c r="E57" s="73"/>
      <c r="F57" s="74"/>
      <c r="H57" s="376" t="str">
        <f>IF(AND(F57&gt;0,$D$8&lt;&gt;"Szaktárgy"),"nem jó a kitöltés!","")</f>
        <v/>
      </c>
      <c r="I57" s="376"/>
      <c r="J57" s="377" t="str">
        <f t="shared" si="11"/>
        <v/>
      </c>
      <c r="K57" s="377"/>
    </row>
    <row r="58" spans="2:11" ht="15.75" thickBot="1" x14ac:dyDescent="0.25">
      <c r="B58" s="375"/>
      <c r="C58" s="284">
        <f>C57+1</f>
        <v>45731</v>
      </c>
      <c r="D58" s="285"/>
      <c r="E58" s="286"/>
      <c r="F58" s="287"/>
      <c r="H58" s="376" t="str">
        <f>IF(AND(F58&gt;0,$D$8&lt;&gt;"Szaktárgy"),"nem jó a kitöltés!","")</f>
        <v/>
      </c>
      <c r="I58" s="376"/>
      <c r="J58" s="377" t="str">
        <f t="shared" si="11"/>
        <v/>
      </c>
      <c r="K58" s="377"/>
    </row>
    <row r="59" spans="2:11" ht="17.25" thickTop="1" thickBot="1" x14ac:dyDescent="0.3">
      <c r="B59" s="380" t="s">
        <v>6</v>
      </c>
      <c r="C59" s="381"/>
      <c r="D59" s="40">
        <f>SUM(D53:D58)</f>
        <v>0</v>
      </c>
      <c r="E59" s="41">
        <f>SUM(E53:E58)</f>
        <v>0</v>
      </c>
      <c r="F59" s="42">
        <f>SUM(F53:F58)</f>
        <v>0</v>
      </c>
      <c r="J59" s="377"/>
      <c r="K59" s="377"/>
    </row>
    <row r="60" spans="2:11" ht="15.75" thickTop="1" x14ac:dyDescent="0.2">
      <c r="B60" s="373" t="s">
        <v>39</v>
      </c>
      <c r="C60" s="282">
        <f>C57+3</f>
        <v>45733</v>
      </c>
      <c r="D60" s="69"/>
      <c r="E60" s="70"/>
      <c r="F60" s="71"/>
      <c r="H60" s="376" t="str">
        <f t="shared" ref="H60:H62" si="12">IF(AND(F60&gt;0,$D$8&lt;&gt;"Szaktárgy"),"nem jó a kitöltés!","")</f>
        <v/>
      </c>
      <c r="I60" s="376"/>
      <c r="J60" s="377" t="str">
        <f t="shared" ref="J60:J65" si="13">IF(AND(OR(D60&gt;0,E60&gt;0),$D$8&lt;&gt;"Szaktárgy"),"nem jó a kitöltés!","")</f>
        <v/>
      </c>
      <c r="K60" s="377"/>
    </row>
    <row r="61" spans="2:11" x14ac:dyDescent="0.2">
      <c r="B61" s="374"/>
      <c r="C61" s="283">
        <f>C60+1</f>
        <v>45734</v>
      </c>
      <c r="D61" s="72"/>
      <c r="E61" s="73"/>
      <c r="F61" s="74"/>
      <c r="H61" s="376" t="str">
        <f t="shared" si="12"/>
        <v/>
      </c>
      <c r="I61" s="376"/>
      <c r="J61" s="377" t="str">
        <f t="shared" si="13"/>
        <v/>
      </c>
      <c r="K61" s="377"/>
    </row>
    <row r="62" spans="2:11" x14ac:dyDescent="0.2">
      <c r="B62" s="374"/>
      <c r="C62" s="283">
        <f>C61+1</f>
        <v>45735</v>
      </c>
      <c r="D62" s="72"/>
      <c r="E62" s="73"/>
      <c r="F62" s="74"/>
      <c r="H62" s="376" t="str">
        <f t="shared" si="12"/>
        <v/>
      </c>
      <c r="I62" s="376"/>
      <c r="J62" s="377" t="str">
        <f t="shared" si="13"/>
        <v/>
      </c>
      <c r="K62" s="377"/>
    </row>
    <row r="63" spans="2:11" x14ac:dyDescent="0.2">
      <c r="B63" s="374"/>
      <c r="C63" s="283">
        <f>C62+1</f>
        <v>45736</v>
      </c>
      <c r="D63" s="261"/>
      <c r="E63" s="263"/>
      <c r="F63" s="262"/>
      <c r="H63" s="376" t="str">
        <f>IF(AND(F63&gt;0,$D$8&lt;&gt;"Szaktárgy"),"nem jó a kitöltés!","")</f>
        <v/>
      </c>
      <c r="I63" s="376"/>
      <c r="J63" s="377" t="str">
        <f t="shared" si="13"/>
        <v/>
      </c>
      <c r="K63" s="377"/>
    </row>
    <row r="64" spans="2:11" x14ac:dyDescent="0.2">
      <c r="B64" s="374"/>
      <c r="C64" s="283">
        <f>C63+1</f>
        <v>45737</v>
      </c>
      <c r="D64" s="261"/>
      <c r="E64" s="263"/>
      <c r="F64" s="262"/>
      <c r="H64" s="376" t="str">
        <f>IF(AND(F64&gt;0,$D$8&lt;&gt;"Szaktárgy"),"nem jó a kitöltés!","")</f>
        <v/>
      </c>
      <c r="I64" s="376"/>
      <c r="J64" s="377" t="str">
        <f t="shared" si="13"/>
        <v/>
      </c>
      <c r="K64" s="377"/>
    </row>
    <row r="65" spans="1:13" ht="15.75" thickBot="1" x14ac:dyDescent="0.25">
      <c r="B65" s="375"/>
      <c r="C65" s="284">
        <f>C64+1</f>
        <v>45738</v>
      </c>
      <c r="D65" s="285"/>
      <c r="E65" s="286"/>
      <c r="F65" s="287"/>
      <c r="H65" s="376" t="str">
        <f>IF(AND(F65&gt;0,$D$8&lt;&gt;"Szaktárgy"),"nem jó a kitöltés!","")</f>
        <v/>
      </c>
      <c r="I65" s="376"/>
      <c r="J65" s="377" t="str">
        <f t="shared" si="13"/>
        <v/>
      </c>
      <c r="K65" s="377"/>
    </row>
    <row r="66" spans="1:13" ht="17.25" thickTop="1" thickBot="1" x14ac:dyDescent="0.3">
      <c r="B66" s="380" t="s">
        <v>6</v>
      </c>
      <c r="C66" s="381"/>
      <c r="D66" s="40">
        <f>SUM(D60:D65)</f>
        <v>0</v>
      </c>
      <c r="E66" s="41">
        <f>SUM(E60:E65)</f>
        <v>0</v>
      </c>
      <c r="F66" s="42">
        <f>SUM(F60:F65)</f>
        <v>0</v>
      </c>
      <c r="J66" s="377"/>
      <c r="K66" s="377"/>
    </row>
    <row r="67" spans="1:13" ht="17.25" thickTop="1" thickBot="1" x14ac:dyDescent="0.3">
      <c r="B67" s="370" t="s">
        <v>1</v>
      </c>
      <c r="C67" s="370"/>
      <c r="D67" s="43">
        <f>D24+D31+D38+D45+D52+D59+D66</f>
        <v>0</v>
      </c>
      <c r="E67" s="43">
        <f>E24+E31+E38+E45+E52+E59+E66</f>
        <v>0</v>
      </c>
      <c r="F67" s="43">
        <f>F24+F31+F38+F45+F52+F59+F66</f>
        <v>0</v>
      </c>
      <c r="G67" s="43" t="e">
        <f>G24+G31+#REF!+G45+#REF!</f>
        <v>#REF!</v>
      </c>
    </row>
    <row r="68" spans="1:13" ht="16.5" thickTop="1" thickBot="1" x14ac:dyDescent="0.25">
      <c r="B68" s="371" t="s">
        <v>65</v>
      </c>
      <c r="C68" s="371"/>
      <c r="D68" s="44">
        <f>'Díjak és etapok'!$C$12</f>
        <v>8400</v>
      </c>
      <c r="E68" s="44">
        <f>'Díjak és etapok'!$C$13</f>
        <v>4200</v>
      </c>
      <c r="F68" s="44">
        <f>'Díjak és etapok'!$C$14</f>
        <v>4200</v>
      </c>
    </row>
    <row r="69" spans="1:13" s="45" customFormat="1" ht="25.5" customHeight="1" thickTop="1" thickBot="1" x14ac:dyDescent="0.25">
      <c r="B69" s="372" t="s">
        <v>68</v>
      </c>
      <c r="C69" s="372"/>
      <c r="D69" s="46">
        <f>IF(D17="",0,D68*D67)</f>
        <v>0</v>
      </c>
      <c r="E69" s="46">
        <f>IF($E$17="",0,E68*E67)</f>
        <v>0</v>
      </c>
      <c r="F69" s="46">
        <f>IF($F$17="",0,F68*F67)</f>
        <v>0</v>
      </c>
    </row>
    <row r="70" spans="1:13" ht="17.25" thickTop="1" thickBot="1" x14ac:dyDescent="0.3">
      <c r="B70" s="378" t="s">
        <v>1</v>
      </c>
      <c r="C70" s="379"/>
      <c r="D70" s="47"/>
      <c r="E70" s="47"/>
      <c r="F70" s="34">
        <f>D69+E69+F69</f>
        <v>0</v>
      </c>
    </row>
    <row r="71" spans="1:13" ht="15.75" thickTop="1" x14ac:dyDescent="0.2"/>
    <row r="72" spans="1:13" ht="10.5" customHeight="1" x14ac:dyDescent="0.2"/>
    <row r="73" spans="1:13" ht="15.75" x14ac:dyDescent="0.25">
      <c r="B73" s="362" t="s">
        <v>139</v>
      </c>
      <c r="C73" s="362"/>
      <c r="D73" s="362"/>
      <c r="E73" s="362"/>
      <c r="F73" s="362"/>
      <c r="G73" s="362"/>
      <c r="H73" s="362"/>
    </row>
    <row r="74" spans="1:13" ht="15.75" x14ac:dyDescent="0.25">
      <c r="B74" s="362" t="s">
        <v>140</v>
      </c>
      <c r="C74" s="362"/>
      <c r="D74" s="362"/>
      <c r="E74" s="362"/>
      <c r="F74" s="362"/>
      <c r="G74" s="362"/>
      <c r="H74" s="362"/>
      <c r="I74" s="362"/>
      <c r="J74" s="362"/>
      <c r="K74" s="362"/>
      <c r="L74" s="362"/>
    </row>
    <row r="75" spans="1:13" ht="15.75" x14ac:dyDescent="0.25">
      <c r="B75" s="9"/>
    </row>
    <row r="76" spans="1:13" ht="15.75" x14ac:dyDescent="0.25">
      <c r="B76" s="361" t="s">
        <v>64</v>
      </c>
      <c r="C76" s="361"/>
      <c r="D76" s="361"/>
      <c r="E76" s="169" t="str">
        <f>IF(F70=0,"",F70)</f>
        <v/>
      </c>
      <c r="F76" s="362" t="s">
        <v>95</v>
      </c>
      <c r="G76" s="362"/>
      <c r="H76" s="362"/>
      <c r="I76" s="362"/>
      <c r="J76" s="362"/>
      <c r="K76" s="362"/>
      <c r="L76" s="362"/>
      <c r="M76" s="362"/>
    </row>
    <row r="77" spans="1:13" x14ac:dyDescent="0.2">
      <c r="C77" s="48"/>
    </row>
    <row r="78" spans="1:13" x14ac:dyDescent="0.2">
      <c r="A78" s="21" t="s">
        <v>32</v>
      </c>
      <c r="B78" s="315" t="str">
        <f>CONCATENATE('Díjak és etapok'!C6,".")</f>
        <v>2025.</v>
      </c>
      <c r="C78" s="269"/>
    </row>
    <row r="79" spans="1:13" x14ac:dyDescent="0.2">
      <c r="C79" s="48"/>
    </row>
    <row r="80" spans="1:13" ht="13.5" customHeight="1" x14ac:dyDescent="0.2">
      <c r="C80" s="48"/>
    </row>
    <row r="81" spans="1:13" ht="37.5" customHeight="1" x14ac:dyDescent="0.2">
      <c r="C81" s="363"/>
      <c r="D81" s="363"/>
      <c r="E81" s="177"/>
      <c r="F81" s="364"/>
      <c r="G81" s="364"/>
      <c r="H81" s="364"/>
      <c r="J81" s="364"/>
      <c r="K81" s="364"/>
      <c r="L81" s="364"/>
      <c r="M81" s="364"/>
    </row>
    <row r="82" spans="1:13" ht="15.75" x14ac:dyDescent="0.25">
      <c r="C82" s="357">
        <f>'Tantárgyi törzsadatok'!C11</f>
        <v>0</v>
      </c>
      <c r="D82" s="357"/>
      <c r="E82" s="181"/>
      <c r="F82" s="357">
        <f>'Tantárgyi törzsadatok'!C13</f>
        <v>0</v>
      </c>
      <c r="G82" s="357"/>
      <c r="H82" s="357"/>
      <c r="I82" s="181"/>
      <c r="J82" s="358" t="str">
        <f>'Díjak és etapok'!F24</f>
        <v>Dr. Czopf László</v>
      </c>
      <c r="K82" s="358"/>
      <c r="L82" s="358"/>
      <c r="M82" s="358"/>
    </row>
    <row r="83" spans="1:13" x14ac:dyDescent="0.2">
      <c r="C83" s="359" t="s">
        <v>69</v>
      </c>
      <c r="D83" s="359"/>
      <c r="E83" s="1"/>
      <c r="F83" s="359" t="s">
        <v>70</v>
      </c>
      <c r="G83" s="360"/>
      <c r="H83" s="360"/>
      <c r="I83" s="1"/>
      <c r="J83" s="359" t="s">
        <v>71</v>
      </c>
      <c r="K83" s="359"/>
      <c r="L83" s="359"/>
      <c r="M83" s="359"/>
    </row>
    <row r="84" spans="1:13" ht="15" customHeight="1" thickBot="1" x14ac:dyDescent="0.25">
      <c r="D84" s="365"/>
      <c r="E84" s="366"/>
    </row>
    <row r="85" spans="1:13" ht="33" customHeight="1" thickTop="1" thickBot="1" x14ac:dyDescent="0.25">
      <c r="A85" s="367" t="s">
        <v>157</v>
      </c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9"/>
    </row>
    <row r="86" spans="1:13" ht="9" customHeight="1" thickTop="1" thickBot="1" x14ac:dyDescent="0.25">
      <c r="C86" s="48"/>
    </row>
    <row r="87" spans="1:13" ht="15.75" customHeight="1" x14ac:dyDescent="0.2">
      <c r="A87" s="62"/>
      <c r="B87" s="59" t="s">
        <v>158</v>
      </c>
      <c r="C87" s="49"/>
      <c r="D87" s="50"/>
      <c r="E87" s="50"/>
      <c r="F87" s="51"/>
    </row>
    <row r="88" spans="1:13" ht="9.75" customHeight="1" x14ac:dyDescent="0.2">
      <c r="A88" s="58"/>
      <c r="B88" s="60"/>
      <c r="C88" s="52"/>
      <c r="D88" s="53"/>
      <c r="E88" s="53"/>
      <c r="F88" s="54"/>
    </row>
    <row r="89" spans="1:13" ht="17.25" customHeight="1" x14ac:dyDescent="0.2">
      <c r="A89" s="355" t="s">
        <v>2</v>
      </c>
      <c r="B89" s="356"/>
      <c r="C89" s="65"/>
      <c r="D89" s="66"/>
      <c r="E89" s="64" t="s">
        <v>3</v>
      </c>
      <c r="F89" s="67"/>
    </row>
    <row r="90" spans="1:13" ht="9.75" customHeight="1" x14ac:dyDescent="0.2">
      <c r="A90" s="58"/>
      <c r="B90" s="61"/>
      <c r="C90" s="52"/>
      <c r="D90" s="53"/>
      <c r="E90" s="53"/>
      <c r="F90" s="54"/>
    </row>
    <row r="91" spans="1:13" ht="21.75" customHeight="1" thickBot="1" x14ac:dyDescent="0.25">
      <c r="A91" s="63"/>
      <c r="B91" s="163" t="s">
        <v>4</v>
      </c>
      <c r="C91" s="57"/>
      <c r="D91" s="55"/>
      <c r="E91" s="55"/>
      <c r="F91" s="56"/>
    </row>
  </sheetData>
  <sheetProtection algorithmName="SHA-512" hashValue="A14Zn2ngrFcC7q/yju12GZqJX3X6CUTcxCcQR0DJYwIiICdx2Vs7oguwI4AyTgRf+f988bTqD+Sp+fweP1TARQ==" saltValue="nwJoMo1Rwf850Z5OBr1Iwg==" spinCount="100000" sheet="1" formatCells="0" selectLockedCells="1"/>
  <mergeCells count="155">
    <mergeCell ref="A1:B1"/>
    <mergeCell ref="L1:M1"/>
    <mergeCell ref="A2:F2"/>
    <mergeCell ref="A3:F3"/>
    <mergeCell ref="H3:J3"/>
    <mergeCell ref="K3:M3"/>
    <mergeCell ref="A5:C5"/>
    <mergeCell ref="F5:J5"/>
    <mergeCell ref="L5:M5"/>
    <mergeCell ref="A6:C6"/>
    <mergeCell ref="D6:F6"/>
    <mergeCell ref="A7:C7"/>
    <mergeCell ref="D7:F7"/>
    <mergeCell ref="H7:J7"/>
    <mergeCell ref="K7:M7"/>
    <mergeCell ref="A8:C8"/>
    <mergeCell ref="D8:F8"/>
    <mergeCell ref="A9:C9"/>
    <mergeCell ref="D9:F9"/>
    <mergeCell ref="A10:C10"/>
    <mergeCell ref="D10:F10"/>
    <mergeCell ref="A11:C11"/>
    <mergeCell ref="D11:F11"/>
    <mergeCell ref="B13:C13"/>
    <mergeCell ref="D13:F13"/>
    <mergeCell ref="H13:M13"/>
    <mergeCell ref="B14:C14"/>
    <mergeCell ref="D14:F14"/>
    <mergeCell ref="B15:C15"/>
    <mergeCell ref="D15:F15"/>
    <mergeCell ref="B18:B23"/>
    <mergeCell ref="H18:I18"/>
    <mergeCell ref="H22:I22"/>
    <mergeCell ref="H23:I23"/>
    <mergeCell ref="J18:K18"/>
    <mergeCell ref="H19:I19"/>
    <mergeCell ref="J19:K19"/>
    <mergeCell ref="H20:I20"/>
    <mergeCell ref="J20:K20"/>
    <mergeCell ref="H21:I21"/>
    <mergeCell ref="J21:K21"/>
    <mergeCell ref="J22:K22"/>
    <mergeCell ref="J23:K23"/>
    <mergeCell ref="B24:C24"/>
    <mergeCell ref="J24:K24"/>
    <mergeCell ref="B25:B30"/>
    <mergeCell ref="H25:I25"/>
    <mergeCell ref="J25:K25"/>
    <mergeCell ref="H26:I26"/>
    <mergeCell ref="J26:K26"/>
    <mergeCell ref="H27:I27"/>
    <mergeCell ref="J27:K27"/>
    <mergeCell ref="H28:I28"/>
    <mergeCell ref="J28:K28"/>
    <mergeCell ref="H29:I29"/>
    <mergeCell ref="J29:K29"/>
    <mergeCell ref="H30:I30"/>
    <mergeCell ref="J30:K30"/>
    <mergeCell ref="B31:C31"/>
    <mergeCell ref="J31:K31"/>
    <mergeCell ref="B32:B37"/>
    <mergeCell ref="H32:I32"/>
    <mergeCell ref="J32:K32"/>
    <mergeCell ref="H33:I33"/>
    <mergeCell ref="J33:K33"/>
    <mergeCell ref="H34:I34"/>
    <mergeCell ref="J34:K34"/>
    <mergeCell ref="H35:I35"/>
    <mergeCell ref="J35:K35"/>
    <mergeCell ref="H36:I36"/>
    <mergeCell ref="J36:K36"/>
    <mergeCell ref="H37:I37"/>
    <mergeCell ref="J37:K37"/>
    <mergeCell ref="B38:C38"/>
    <mergeCell ref="J38:K38"/>
    <mergeCell ref="B39:B44"/>
    <mergeCell ref="H39:I39"/>
    <mergeCell ref="J39:K39"/>
    <mergeCell ref="H40:I40"/>
    <mergeCell ref="J40:K40"/>
    <mergeCell ref="H41:I41"/>
    <mergeCell ref="J41:K41"/>
    <mergeCell ref="H42:I42"/>
    <mergeCell ref="J42:K42"/>
    <mergeCell ref="H43:I43"/>
    <mergeCell ref="J43:K43"/>
    <mergeCell ref="H44:I44"/>
    <mergeCell ref="J44:K44"/>
    <mergeCell ref="B45:C45"/>
    <mergeCell ref="J45:K45"/>
    <mergeCell ref="B46:B51"/>
    <mergeCell ref="H46:I46"/>
    <mergeCell ref="J46:K46"/>
    <mergeCell ref="H47:I47"/>
    <mergeCell ref="J47:K47"/>
    <mergeCell ref="H48:I48"/>
    <mergeCell ref="J48:K48"/>
    <mergeCell ref="H49:I49"/>
    <mergeCell ref="J49:K49"/>
    <mergeCell ref="H50:I50"/>
    <mergeCell ref="J50:K50"/>
    <mergeCell ref="H51:I51"/>
    <mergeCell ref="J51:K51"/>
    <mergeCell ref="B52:C52"/>
    <mergeCell ref="J52:K52"/>
    <mergeCell ref="B53:B58"/>
    <mergeCell ref="H53:I53"/>
    <mergeCell ref="J53:K53"/>
    <mergeCell ref="H54:I54"/>
    <mergeCell ref="J54:K54"/>
    <mergeCell ref="H55:I55"/>
    <mergeCell ref="J55:K55"/>
    <mergeCell ref="H56:I56"/>
    <mergeCell ref="J56:K56"/>
    <mergeCell ref="H57:I57"/>
    <mergeCell ref="J57:K57"/>
    <mergeCell ref="H58:I58"/>
    <mergeCell ref="J58:K58"/>
    <mergeCell ref="B59:C59"/>
    <mergeCell ref="J59:K59"/>
    <mergeCell ref="H62:I62"/>
    <mergeCell ref="J62:K62"/>
    <mergeCell ref="H63:I63"/>
    <mergeCell ref="J63:K63"/>
    <mergeCell ref="H64:I64"/>
    <mergeCell ref="J64:K64"/>
    <mergeCell ref="B66:C66"/>
    <mergeCell ref="J66:K66"/>
    <mergeCell ref="H65:I65"/>
    <mergeCell ref="J65:K65"/>
    <mergeCell ref="B74:L74"/>
    <mergeCell ref="B73:H73"/>
    <mergeCell ref="D84:E84"/>
    <mergeCell ref="A85:M85"/>
    <mergeCell ref="B67:C67"/>
    <mergeCell ref="B68:C68"/>
    <mergeCell ref="B69:C69"/>
    <mergeCell ref="B60:B65"/>
    <mergeCell ref="H60:I60"/>
    <mergeCell ref="J60:K60"/>
    <mergeCell ref="H61:I61"/>
    <mergeCell ref="J61:K61"/>
    <mergeCell ref="B70:C70"/>
    <mergeCell ref="A89:B89"/>
    <mergeCell ref="C82:D82"/>
    <mergeCell ref="F82:H82"/>
    <mergeCell ref="J82:M82"/>
    <mergeCell ref="C83:D83"/>
    <mergeCell ref="F83:H83"/>
    <mergeCell ref="J83:M83"/>
    <mergeCell ref="B76:D76"/>
    <mergeCell ref="F76:M76"/>
    <mergeCell ref="C81:D81"/>
    <mergeCell ref="F81:H81"/>
    <mergeCell ref="J81:M81"/>
  </mergeCells>
  <printOptions horizontalCentered="1"/>
  <pageMargins left="0.51181102362204722" right="0.51181102362204722" top="0.51181102362204722" bottom="0.51181102362204722" header="0.23622047244094491" footer="0.23622047244094491"/>
  <pageSetup paperSize="9" scale="51" orientation="portrait" r:id="rId1"/>
  <headerFooter alignWithMargins="0">
    <oddHeader>&amp;CM-es (magyar)</oddHeader>
    <oddFooter>&amp;L&amp;"Arial,Félkövér"&amp;9Teljesítésigazolás
M&amp;"Arial,Normál"-es szerződéshez&amp;R&amp;10&amp;F/&amp;A/PP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8">
    <tabColor indexed="14"/>
    <pageSetUpPr fitToPage="1"/>
  </sheetPr>
  <dimension ref="A1:P98"/>
  <sheetViews>
    <sheetView topLeftCell="A5" workbookViewId="0">
      <selection activeCell="A13" sqref="A13"/>
    </sheetView>
  </sheetViews>
  <sheetFormatPr defaultRowHeight="15" x14ac:dyDescent="0.2"/>
  <cols>
    <col min="1" max="1" width="6.21875" style="21" customWidth="1"/>
    <col min="2" max="2" width="8.21875" style="21" customWidth="1"/>
    <col min="3" max="3" width="12.77734375" style="21" customWidth="1"/>
    <col min="4" max="6" width="14.77734375" style="21" customWidth="1"/>
    <col min="7" max="7" width="9.6640625" style="21" hidden="1" customWidth="1"/>
    <col min="8" max="8" width="13.88671875" style="21" customWidth="1"/>
    <col min="9" max="9" width="3.77734375" style="21" customWidth="1"/>
    <col min="10" max="10" width="10" style="21" customWidth="1"/>
    <col min="11" max="11" width="3" style="21" customWidth="1"/>
    <col min="12" max="12" width="10.6640625" style="21" customWidth="1"/>
    <col min="13" max="13" width="5.88671875" style="21" customWidth="1"/>
    <col min="14" max="16384" width="8.88671875" style="21"/>
  </cols>
  <sheetData>
    <row r="1" spans="1:14" ht="24" customHeight="1" x14ac:dyDescent="0.35">
      <c r="A1" s="398" t="str">
        <f>'Díjak és etapok'!C5</f>
        <v>PTE ÁOK</v>
      </c>
      <c r="B1" s="398"/>
      <c r="L1" s="399">
        <f>'Díjak és etapok'!C6</f>
        <v>2025</v>
      </c>
      <c r="M1" s="400"/>
    </row>
    <row r="2" spans="1:14" ht="36" customHeight="1" x14ac:dyDescent="0.25">
      <c r="A2" s="401" t="s">
        <v>119</v>
      </c>
      <c r="B2" s="402"/>
      <c r="C2" s="402"/>
      <c r="D2" s="402"/>
      <c r="E2" s="402"/>
      <c r="F2" s="402"/>
      <c r="G2" s="32"/>
    </row>
    <row r="3" spans="1:14" x14ac:dyDescent="0.2">
      <c r="A3" s="403" t="str">
        <f>'Tantárgyi törzsadatok'!A3:J3</f>
        <v>2024/2025. tanév II. félév - tavaszi szemeszter</v>
      </c>
      <c r="B3" s="403"/>
      <c r="C3" s="403"/>
      <c r="D3" s="403"/>
      <c r="E3" s="403"/>
      <c r="F3" s="403"/>
      <c r="G3" s="33"/>
      <c r="H3" s="396" t="s">
        <v>72</v>
      </c>
      <c r="I3" s="396"/>
      <c r="J3" s="396"/>
      <c r="K3" s="404"/>
      <c r="L3" s="404"/>
      <c r="M3" s="404"/>
    </row>
    <row r="4" spans="1:14" x14ac:dyDescent="0.2">
      <c r="F4" s="178"/>
      <c r="G4" s="178" t="s">
        <v>73</v>
      </c>
    </row>
    <row r="5" spans="1:14" ht="15.75" x14ac:dyDescent="0.25">
      <c r="A5" s="386" t="s">
        <v>10</v>
      </c>
      <c r="B5" s="386"/>
      <c r="C5" s="386"/>
      <c r="D5" s="279" t="str">
        <f>'Tantárgyi törzsadatok'!C7</f>
        <v>magyar</v>
      </c>
      <c r="E5" s="68"/>
      <c r="F5" s="396"/>
      <c r="G5" s="396"/>
      <c r="H5" s="396"/>
      <c r="I5" s="396"/>
      <c r="J5" s="396"/>
      <c r="K5" s="180"/>
      <c r="L5" s="405"/>
      <c r="M5" s="405"/>
    </row>
    <row r="6" spans="1:14" x14ac:dyDescent="0.2">
      <c r="A6" s="386" t="s">
        <v>14</v>
      </c>
      <c r="B6" s="386"/>
      <c r="C6" s="386"/>
      <c r="D6" s="387">
        <f>'Tantárgyi törzsadatok'!C8</f>
        <v>0</v>
      </c>
      <c r="E6" s="388"/>
      <c r="F6" s="388"/>
      <c r="K6" s="251"/>
      <c r="L6" s="251"/>
      <c r="M6" s="251"/>
    </row>
    <row r="7" spans="1:14" ht="15.75" x14ac:dyDescent="0.25">
      <c r="A7" s="386" t="s">
        <v>35</v>
      </c>
      <c r="B7" s="386"/>
      <c r="C7" s="386"/>
      <c r="D7" s="393">
        <f>'Tantárgyi törzsadatok'!C9</f>
        <v>0</v>
      </c>
      <c r="E7" s="394"/>
      <c r="F7" s="395"/>
      <c r="H7" s="396"/>
      <c r="I7" s="396"/>
      <c r="J7" s="396"/>
      <c r="K7" s="397"/>
      <c r="L7" s="397"/>
      <c r="M7" s="397"/>
      <c r="N7" s="162"/>
    </row>
    <row r="8" spans="1:14" x14ac:dyDescent="0.2">
      <c r="A8" s="386" t="s">
        <v>25</v>
      </c>
      <c r="B8" s="386"/>
      <c r="C8" s="386"/>
      <c r="D8" s="387" t="str">
        <f>'Tantárgyi törzsadatok'!C10</f>
        <v>Szaktárgy</v>
      </c>
      <c r="E8" s="388"/>
      <c r="F8" s="388"/>
    </row>
    <row r="9" spans="1:14" x14ac:dyDescent="0.2">
      <c r="A9" s="386" t="s">
        <v>13</v>
      </c>
      <c r="B9" s="386"/>
      <c r="C9" s="386"/>
      <c r="D9" s="387">
        <f>'Tantárgyi törzsadatok'!C11</f>
        <v>0</v>
      </c>
      <c r="E9" s="388"/>
      <c r="F9" s="388"/>
      <c r="H9" s="33"/>
      <c r="I9" s="157">
        <v>2</v>
      </c>
      <c r="J9" s="179" t="s">
        <v>60</v>
      </c>
    </row>
    <row r="10" spans="1:14" x14ac:dyDescent="0.2">
      <c r="A10" s="386" t="s">
        <v>15</v>
      </c>
      <c r="B10" s="386"/>
      <c r="C10" s="386"/>
      <c r="D10" s="387">
        <f>'Tantárgyi törzsadatok'!C12</f>
        <v>0</v>
      </c>
      <c r="E10" s="388"/>
      <c r="F10" s="388"/>
      <c r="I10" s="158" t="s">
        <v>58</v>
      </c>
      <c r="J10" s="159">
        <f>VLOOKUP($I$9,'Díjak és etapok'!$B$21:$E$22,2)</f>
        <v>45740</v>
      </c>
      <c r="K10" s="160" t="s">
        <v>47</v>
      </c>
      <c r="L10" s="159">
        <f>VLOOKUP($I$9,'Díjak és etapok'!$B$21:$E$22,3)</f>
        <v>45793</v>
      </c>
      <c r="M10" s="21" t="s">
        <v>59</v>
      </c>
    </row>
    <row r="11" spans="1:14" x14ac:dyDescent="0.2">
      <c r="A11" s="386" t="s">
        <v>28</v>
      </c>
      <c r="B11" s="386"/>
      <c r="C11" s="386"/>
      <c r="D11" s="387">
        <f>'Tantárgyi törzsadatok'!C13</f>
        <v>0</v>
      </c>
      <c r="E11" s="388"/>
      <c r="F11" s="388"/>
    </row>
    <row r="12" spans="1:14" ht="18.75" customHeight="1" x14ac:dyDescent="0.2">
      <c r="A12" s="35"/>
    </row>
    <row r="13" spans="1:14" ht="15.75" customHeight="1" x14ac:dyDescent="0.25">
      <c r="A13" s="75"/>
      <c r="B13" s="382" t="s">
        <v>33</v>
      </c>
      <c r="C13" s="382"/>
      <c r="D13" s="389" t="str">
        <f>IF(A13="","",VLOOKUP($A$13,'Tantárgyi törzsadatok'!$A$16:$J$45,2))</f>
        <v/>
      </c>
      <c r="E13" s="390"/>
      <c r="F13" s="391"/>
      <c r="H13" s="392" t="s">
        <v>159</v>
      </c>
      <c r="I13" s="392"/>
      <c r="J13" s="392"/>
      <c r="K13" s="392"/>
      <c r="L13" s="392"/>
      <c r="M13" s="392"/>
    </row>
    <row r="14" spans="1:14" ht="15.75" x14ac:dyDescent="0.25">
      <c r="A14" s="35"/>
      <c r="B14" s="382" t="s">
        <v>34</v>
      </c>
      <c r="C14" s="382"/>
      <c r="D14" s="389" t="str">
        <f>IF(A13="","",VLOOKUP($A$13,'Tantárgyi törzsadatok'!$A$16:$J$45,7))</f>
        <v/>
      </c>
      <c r="E14" s="390"/>
      <c r="F14" s="391"/>
    </row>
    <row r="15" spans="1:14" ht="15.75" x14ac:dyDescent="0.25">
      <c r="A15" s="35"/>
      <c r="B15" s="382" t="s">
        <v>16</v>
      </c>
      <c r="C15" s="382"/>
      <c r="D15" s="383" t="str">
        <f>IF(A13="","",VLOOKUP($A$13,'Tantárgyi törzsadatok'!$A$16:$J$45,9))</f>
        <v/>
      </c>
      <c r="E15" s="384"/>
      <c r="F15" s="385"/>
      <c r="G15" s="21" t="e">
        <f>VLOOKUP(A13,'Tantárgyi törzsadatok'!$A$16:$J$45,8)</f>
        <v>#N/A</v>
      </c>
      <c r="J15" s="174">
        <f>L10+7</f>
        <v>45800</v>
      </c>
      <c r="K15" s="172"/>
      <c r="L15" s="172"/>
    </row>
    <row r="16" spans="1:14" ht="15.75" thickBot="1" x14ac:dyDescent="0.25">
      <c r="H16" s="173"/>
      <c r="I16" s="173"/>
      <c r="J16" s="173"/>
    </row>
    <row r="17" spans="2:11" ht="61.5" thickTop="1" thickBot="1" x14ac:dyDescent="0.25">
      <c r="B17" s="36" t="s">
        <v>27</v>
      </c>
      <c r="C17" s="37" t="s">
        <v>7</v>
      </c>
      <c r="D17" s="38" t="s">
        <v>110</v>
      </c>
      <c r="E17" s="38" t="s">
        <v>111</v>
      </c>
      <c r="F17" s="39" t="s">
        <v>112</v>
      </c>
    </row>
    <row r="18" spans="2:11" ht="15.75" thickTop="1" x14ac:dyDescent="0.2">
      <c r="B18" s="373" t="s">
        <v>40</v>
      </c>
      <c r="C18" s="282">
        <f>J10</f>
        <v>45740</v>
      </c>
      <c r="D18" s="69"/>
      <c r="E18" s="70"/>
      <c r="F18" s="71"/>
      <c r="H18" s="376" t="str">
        <f t="shared" ref="H18:H20" si="0">IF(AND(F18&gt;0,$D$8&lt;&gt;"Szaktárgy"),"nem jó a kitöltés!","")</f>
        <v/>
      </c>
      <c r="I18" s="376"/>
      <c r="J18" s="377" t="str">
        <f t="shared" ref="J18:J23" si="1">IF(AND(OR(D18&gt;0,E18&gt;0),$D$8&lt;&gt;"Szaktárgy"),"nem jó a kitöltés!","")</f>
        <v/>
      </c>
      <c r="K18" s="377"/>
    </row>
    <row r="19" spans="2:11" x14ac:dyDescent="0.2">
      <c r="B19" s="374"/>
      <c r="C19" s="283">
        <f>C18+1</f>
        <v>45741</v>
      </c>
      <c r="D19" s="72"/>
      <c r="E19" s="73"/>
      <c r="F19" s="74"/>
      <c r="H19" s="376" t="str">
        <f t="shared" si="0"/>
        <v/>
      </c>
      <c r="I19" s="376"/>
      <c r="J19" s="377" t="str">
        <f t="shared" si="1"/>
        <v/>
      </c>
      <c r="K19" s="377"/>
    </row>
    <row r="20" spans="2:11" x14ac:dyDescent="0.2">
      <c r="B20" s="374"/>
      <c r="C20" s="283">
        <f>C19+1</f>
        <v>45742</v>
      </c>
      <c r="D20" s="72"/>
      <c r="E20" s="73"/>
      <c r="F20" s="74"/>
      <c r="H20" s="376" t="str">
        <f t="shared" si="0"/>
        <v/>
      </c>
      <c r="I20" s="376"/>
      <c r="J20" s="377" t="str">
        <f t="shared" si="1"/>
        <v/>
      </c>
      <c r="K20" s="377"/>
    </row>
    <row r="21" spans="2:11" x14ac:dyDescent="0.2">
      <c r="B21" s="374"/>
      <c r="C21" s="283">
        <f>C20+1</f>
        <v>45743</v>
      </c>
      <c r="D21" s="261"/>
      <c r="E21" s="263"/>
      <c r="F21" s="262"/>
      <c r="H21" s="376" t="str">
        <f>IF(AND(F21&gt;0,$D$8&lt;&gt;"Szaktárgy"),"nem jó a kitöltés!","")</f>
        <v/>
      </c>
      <c r="I21" s="376"/>
      <c r="J21" s="377" t="str">
        <f t="shared" si="1"/>
        <v/>
      </c>
      <c r="K21" s="377"/>
    </row>
    <row r="22" spans="2:11" x14ac:dyDescent="0.2">
      <c r="B22" s="374"/>
      <c r="C22" s="283">
        <f>C21+1</f>
        <v>45744</v>
      </c>
      <c r="D22" s="261"/>
      <c r="E22" s="263"/>
      <c r="F22" s="262"/>
      <c r="H22" s="376" t="str">
        <f>IF(AND(F22&gt;0,$D$8&lt;&gt;"Szaktárgy"),"nem jó a kitöltés!","")</f>
        <v/>
      </c>
      <c r="I22" s="376"/>
      <c r="J22" s="377" t="str">
        <f t="shared" si="1"/>
        <v/>
      </c>
      <c r="K22" s="377"/>
    </row>
    <row r="23" spans="2:11" ht="15.75" thickBot="1" x14ac:dyDescent="0.25">
      <c r="B23" s="375"/>
      <c r="C23" s="284">
        <f>C22+1</f>
        <v>45745</v>
      </c>
      <c r="D23" s="285"/>
      <c r="E23" s="286"/>
      <c r="F23" s="287"/>
      <c r="H23" s="376" t="str">
        <f>IF(AND(F23&gt;0,$D$8&lt;&gt;"Szaktárgy"),"nem jó a kitöltés!","")</f>
        <v/>
      </c>
      <c r="I23" s="376"/>
      <c r="J23" s="377" t="str">
        <f t="shared" si="1"/>
        <v/>
      </c>
      <c r="K23" s="377"/>
    </row>
    <row r="24" spans="2:11" ht="17.25" thickTop="1" thickBot="1" x14ac:dyDescent="0.3">
      <c r="B24" s="380" t="s">
        <v>6</v>
      </c>
      <c r="C24" s="381"/>
      <c r="D24" s="40">
        <f>SUM(D18:D23)</f>
        <v>0</v>
      </c>
      <c r="E24" s="41">
        <f>SUM(E18:E23)</f>
        <v>0</v>
      </c>
      <c r="F24" s="42">
        <f>SUM(F18:F23)</f>
        <v>0</v>
      </c>
      <c r="J24" s="377"/>
      <c r="K24" s="377"/>
    </row>
    <row r="25" spans="2:11" ht="15.75" thickTop="1" x14ac:dyDescent="0.2">
      <c r="B25" s="373" t="s">
        <v>41</v>
      </c>
      <c r="C25" s="282">
        <f>C22+3</f>
        <v>45747</v>
      </c>
      <c r="D25" s="69"/>
      <c r="E25" s="70"/>
      <c r="F25" s="71"/>
      <c r="H25" s="376" t="str">
        <f t="shared" ref="H25:H27" si="2">IF(AND(F25&gt;0,$D$8&lt;&gt;"Szaktárgy"),"nem jó a kitöltés!","")</f>
        <v/>
      </c>
      <c r="I25" s="376"/>
      <c r="J25" s="377" t="str">
        <f t="shared" ref="J25:J30" si="3">IF(AND(OR(D25&gt;0,E25&gt;0),$D$8&lt;&gt;"Szaktárgy"),"nem jó a kitöltés!","")</f>
        <v/>
      </c>
      <c r="K25" s="377"/>
    </row>
    <row r="26" spans="2:11" x14ac:dyDescent="0.2">
      <c r="B26" s="374"/>
      <c r="C26" s="283">
        <f>C25+1</f>
        <v>45748</v>
      </c>
      <c r="D26" s="72"/>
      <c r="E26" s="73"/>
      <c r="F26" s="74"/>
      <c r="H26" s="376" t="str">
        <f t="shared" si="2"/>
        <v/>
      </c>
      <c r="I26" s="376"/>
      <c r="J26" s="377" t="str">
        <f t="shared" si="3"/>
        <v/>
      </c>
      <c r="K26" s="377"/>
    </row>
    <row r="27" spans="2:11" x14ac:dyDescent="0.2">
      <c r="B27" s="374"/>
      <c r="C27" s="283">
        <f>C26+1</f>
        <v>45749</v>
      </c>
      <c r="D27" s="72"/>
      <c r="E27" s="73"/>
      <c r="F27" s="74"/>
      <c r="H27" s="376" t="str">
        <f t="shared" si="2"/>
        <v/>
      </c>
      <c r="I27" s="376"/>
      <c r="J27" s="377" t="str">
        <f t="shared" si="3"/>
        <v/>
      </c>
      <c r="K27" s="377"/>
    </row>
    <row r="28" spans="2:11" x14ac:dyDescent="0.2">
      <c r="B28" s="374"/>
      <c r="C28" s="283">
        <f>C27+1</f>
        <v>45750</v>
      </c>
      <c r="D28" s="261"/>
      <c r="E28" s="263"/>
      <c r="F28" s="262"/>
      <c r="H28" s="376" t="str">
        <f>IF(AND(F28&gt;0,$D$8&lt;&gt;"Szaktárgy"),"nem jó a kitöltés!","")</f>
        <v/>
      </c>
      <c r="I28" s="376"/>
      <c r="J28" s="377" t="str">
        <f t="shared" si="3"/>
        <v/>
      </c>
      <c r="K28" s="377"/>
    </row>
    <row r="29" spans="2:11" x14ac:dyDescent="0.2">
      <c r="B29" s="374"/>
      <c r="C29" s="283">
        <f>C28+1</f>
        <v>45751</v>
      </c>
      <c r="D29" s="72"/>
      <c r="E29" s="73"/>
      <c r="F29" s="74"/>
      <c r="H29" s="376" t="str">
        <f>IF(AND(F29&gt;0,$D$8&lt;&gt;"Szaktárgy"),"nem jó a kitöltés!","")</f>
        <v/>
      </c>
      <c r="I29" s="376"/>
      <c r="J29" s="377" t="str">
        <f t="shared" si="3"/>
        <v/>
      </c>
      <c r="K29" s="377"/>
    </row>
    <row r="30" spans="2:11" ht="15.75" thickBot="1" x14ac:dyDescent="0.25">
      <c r="B30" s="375"/>
      <c r="C30" s="284">
        <f>C29+1</f>
        <v>45752</v>
      </c>
      <c r="D30" s="285"/>
      <c r="E30" s="286"/>
      <c r="F30" s="287"/>
      <c r="H30" s="376" t="str">
        <f>IF(AND(F30&gt;0,$D$8&lt;&gt;"Szaktárgy"),"nem jó a kitöltés!","")</f>
        <v/>
      </c>
      <c r="I30" s="376"/>
      <c r="J30" s="377" t="str">
        <f t="shared" si="3"/>
        <v/>
      </c>
      <c r="K30" s="377"/>
    </row>
    <row r="31" spans="2:11" ht="17.25" thickTop="1" thickBot="1" x14ac:dyDescent="0.3">
      <c r="B31" s="380" t="s">
        <v>6</v>
      </c>
      <c r="C31" s="381"/>
      <c r="D31" s="40">
        <f>SUM(D25:D30)</f>
        <v>0</v>
      </c>
      <c r="E31" s="41">
        <f>SUM(E25:E30)</f>
        <v>0</v>
      </c>
      <c r="F31" s="42">
        <f>SUM(F25:F30)</f>
        <v>0</v>
      </c>
      <c r="J31" s="377"/>
      <c r="K31" s="377"/>
    </row>
    <row r="32" spans="2:11" ht="15.75" thickTop="1" x14ac:dyDescent="0.2">
      <c r="B32" s="373" t="s">
        <v>46</v>
      </c>
      <c r="C32" s="282">
        <f>C29+3</f>
        <v>45754</v>
      </c>
      <c r="D32" s="69"/>
      <c r="E32" s="70"/>
      <c r="F32" s="71"/>
      <c r="H32" s="376" t="str">
        <f t="shared" ref="H32:H34" si="4">IF(AND(F32&gt;0,$D$8&lt;&gt;"Szaktárgy"),"nem jó a kitöltés!","")</f>
        <v/>
      </c>
      <c r="I32" s="376"/>
      <c r="J32" s="377" t="str">
        <f t="shared" ref="J32:J37" si="5">IF(AND(OR(D32&gt;0,E32&gt;0),$D$8&lt;&gt;"Szaktárgy"),"nem jó a kitöltés!","")</f>
        <v/>
      </c>
      <c r="K32" s="377"/>
    </row>
    <row r="33" spans="2:11" x14ac:dyDescent="0.2">
      <c r="B33" s="374"/>
      <c r="C33" s="283">
        <f>C32+1</f>
        <v>45755</v>
      </c>
      <c r="D33" s="72"/>
      <c r="E33" s="73"/>
      <c r="F33" s="74"/>
      <c r="H33" s="376" t="str">
        <f t="shared" si="4"/>
        <v/>
      </c>
      <c r="I33" s="376"/>
      <c r="J33" s="377" t="str">
        <f t="shared" si="5"/>
        <v/>
      </c>
      <c r="K33" s="377"/>
    </row>
    <row r="34" spans="2:11" x14ac:dyDescent="0.2">
      <c r="B34" s="374"/>
      <c r="C34" s="283">
        <f>C33+1</f>
        <v>45756</v>
      </c>
      <c r="D34" s="72"/>
      <c r="E34" s="73"/>
      <c r="F34" s="74"/>
      <c r="H34" s="376" t="str">
        <f t="shared" si="4"/>
        <v/>
      </c>
      <c r="I34" s="376"/>
      <c r="J34" s="377" t="str">
        <f t="shared" si="5"/>
        <v/>
      </c>
      <c r="K34" s="377"/>
    </row>
    <row r="35" spans="2:11" x14ac:dyDescent="0.2">
      <c r="B35" s="374"/>
      <c r="C35" s="283">
        <f>C34+1</f>
        <v>45757</v>
      </c>
      <c r="D35" s="261"/>
      <c r="E35" s="263"/>
      <c r="F35" s="262"/>
      <c r="H35" s="376" t="str">
        <f>IF(AND(F35&gt;0,$D$8&lt;&gt;"Szaktárgy"),"nem jó a kitöltés!","")</f>
        <v/>
      </c>
      <c r="I35" s="376"/>
      <c r="J35" s="377" t="str">
        <f t="shared" si="5"/>
        <v/>
      </c>
      <c r="K35" s="377"/>
    </row>
    <row r="36" spans="2:11" x14ac:dyDescent="0.2">
      <c r="B36" s="374"/>
      <c r="C36" s="283">
        <f>C35+1</f>
        <v>45758</v>
      </c>
      <c r="D36" s="261"/>
      <c r="E36" s="263"/>
      <c r="F36" s="262"/>
      <c r="H36" s="376" t="str">
        <f>IF(AND(F36&gt;0,$D$8&lt;&gt;"Szaktárgy"),"nem jó a kitöltés!","")</f>
        <v/>
      </c>
      <c r="I36" s="376"/>
      <c r="J36" s="377" t="str">
        <f t="shared" si="5"/>
        <v/>
      </c>
      <c r="K36" s="377"/>
    </row>
    <row r="37" spans="2:11" ht="15.75" thickBot="1" x14ac:dyDescent="0.25">
      <c r="B37" s="375"/>
      <c r="C37" s="284">
        <f>C36+1</f>
        <v>45759</v>
      </c>
      <c r="D37" s="285"/>
      <c r="E37" s="286"/>
      <c r="F37" s="287"/>
      <c r="H37" s="376" t="str">
        <f>IF(AND(F37&gt;0,$D$8&lt;&gt;"Szaktárgy"),"nem jó a kitöltés!","")</f>
        <v/>
      </c>
      <c r="I37" s="376"/>
      <c r="J37" s="377" t="str">
        <f t="shared" si="5"/>
        <v/>
      </c>
      <c r="K37" s="377"/>
    </row>
    <row r="38" spans="2:11" ht="17.25" thickTop="1" thickBot="1" x14ac:dyDescent="0.3">
      <c r="B38" s="380" t="s">
        <v>6</v>
      </c>
      <c r="C38" s="381"/>
      <c r="D38" s="40">
        <f>SUM(D32:D37)</f>
        <v>0</v>
      </c>
      <c r="E38" s="41">
        <f>SUM(E32:E37)</f>
        <v>0</v>
      </c>
      <c r="F38" s="42">
        <f>SUM(F32:F37)</f>
        <v>0</v>
      </c>
      <c r="J38" s="377"/>
      <c r="K38" s="377"/>
    </row>
    <row r="39" spans="2:11" ht="15.75" thickTop="1" x14ac:dyDescent="0.2">
      <c r="B39" s="373" t="s">
        <v>42</v>
      </c>
      <c r="C39" s="282">
        <f>C36+3</f>
        <v>45761</v>
      </c>
      <c r="D39" s="69"/>
      <c r="E39" s="70"/>
      <c r="F39" s="71"/>
      <c r="H39" s="376" t="str">
        <f t="shared" ref="H39:H41" si="6">IF(AND(F39&gt;0,$D$8&lt;&gt;"Szaktárgy"),"nem jó a kitöltés!","")</f>
        <v/>
      </c>
      <c r="I39" s="376"/>
      <c r="J39" s="377" t="str">
        <f t="shared" ref="J39:J44" si="7">IF(AND(OR(D39&gt;0,E39&gt;0),$D$8&lt;&gt;"Szaktárgy"),"nem jó a kitöltés!","")</f>
        <v/>
      </c>
      <c r="K39" s="377"/>
    </row>
    <row r="40" spans="2:11" x14ac:dyDescent="0.2">
      <c r="B40" s="374"/>
      <c r="C40" s="283">
        <f>C39+1</f>
        <v>45762</v>
      </c>
      <c r="D40" s="72"/>
      <c r="E40" s="73"/>
      <c r="F40" s="74"/>
      <c r="H40" s="376" t="str">
        <f t="shared" si="6"/>
        <v/>
      </c>
      <c r="I40" s="376"/>
      <c r="J40" s="377" t="str">
        <f t="shared" si="7"/>
        <v/>
      </c>
      <c r="K40" s="377"/>
    </row>
    <row r="41" spans="2:11" x14ac:dyDescent="0.2">
      <c r="B41" s="374"/>
      <c r="C41" s="283">
        <f>C40+1</f>
        <v>45763</v>
      </c>
      <c r="D41" s="72"/>
      <c r="E41" s="73"/>
      <c r="F41" s="74"/>
      <c r="H41" s="376" t="str">
        <f t="shared" si="6"/>
        <v/>
      </c>
      <c r="I41" s="376"/>
      <c r="J41" s="377" t="str">
        <f t="shared" si="7"/>
        <v/>
      </c>
      <c r="K41" s="377"/>
    </row>
    <row r="42" spans="2:11" x14ac:dyDescent="0.2">
      <c r="B42" s="374"/>
      <c r="C42" s="283">
        <f>C41+1</f>
        <v>45764</v>
      </c>
      <c r="D42" s="261"/>
      <c r="E42" s="263"/>
      <c r="F42" s="262"/>
      <c r="H42" s="376" t="str">
        <f>IF(AND(F42&gt;0,$D$8&lt;&gt;"Szaktárgy"),"nem jó a kitöltés!","")</f>
        <v/>
      </c>
      <c r="I42" s="376"/>
      <c r="J42" s="377" t="str">
        <f t="shared" si="7"/>
        <v/>
      </c>
      <c r="K42" s="377"/>
    </row>
    <row r="43" spans="2:11" x14ac:dyDescent="0.2">
      <c r="B43" s="374"/>
      <c r="C43" s="288">
        <f>C42+1</f>
        <v>45765</v>
      </c>
      <c r="D43" s="312"/>
      <c r="E43" s="313"/>
      <c r="F43" s="314"/>
      <c r="H43" s="376" t="str">
        <f>IF(AND(F43&gt;0,$D$8&lt;&gt;"Szaktárgy"),"nem jó a kitöltés!","")</f>
        <v/>
      </c>
      <c r="I43" s="376"/>
      <c r="J43" s="377" t="str">
        <f t="shared" si="7"/>
        <v/>
      </c>
      <c r="K43" s="377"/>
    </row>
    <row r="44" spans="2:11" ht="15.75" thickBot="1" x14ac:dyDescent="0.25">
      <c r="B44" s="375"/>
      <c r="C44" s="284">
        <f>C43+1</f>
        <v>45766</v>
      </c>
      <c r="D44" s="285"/>
      <c r="E44" s="286"/>
      <c r="F44" s="287"/>
      <c r="H44" s="376" t="str">
        <f>IF(AND(F44&gt;0,$D$8&lt;&gt;"Szaktárgy"),"nem jó a kitöltés!","")</f>
        <v/>
      </c>
      <c r="I44" s="376"/>
      <c r="J44" s="377" t="str">
        <f t="shared" si="7"/>
        <v/>
      </c>
      <c r="K44" s="377"/>
    </row>
    <row r="45" spans="2:11" ht="17.25" thickTop="1" thickBot="1" x14ac:dyDescent="0.3">
      <c r="B45" s="380" t="s">
        <v>6</v>
      </c>
      <c r="C45" s="381"/>
      <c r="D45" s="40">
        <f>SUM(D39:D44)</f>
        <v>0</v>
      </c>
      <c r="E45" s="41">
        <f>SUM(E39:E44)</f>
        <v>0</v>
      </c>
      <c r="F45" s="42">
        <f>SUM(F39:F44)</f>
        <v>0</v>
      </c>
      <c r="J45" s="377"/>
      <c r="K45" s="377"/>
    </row>
    <row r="46" spans="2:11" ht="15.75" thickTop="1" x14ac:dyDescent="0.2">
      <c r="B46" s="406" t="s">
        <v>165</v>
      </c>
      <c r="C46" s="289">
        <f>C43+3</f>
        <v>45768</v>
      </c>
      <c r="D46" s="274"/>
      <c r="E46" s="275"/>
      <c r="F46" s="276"/>
      <c r="H46" s="376" t="str">
        <f t="shared" ref="H46:H48" si="8">IF(AND(F46&gt;0,$D$8&lt;&gt;"Szaktárgy"),"nem jó a kitöltés!","")</f>
        <v/>
      </c>
      <c r="I46" s="376"/>
      <c r="J46" s="377" t="str">
        <f t="shared" ref="J46:J51" si="9">IF(AND(OR(D46&gt;0,E46&gt;0),$D$8&lt;&gt;"Szaktárgy"),"nem jó a kitöltés!","")</f>
        <v/>
      </c>
      <c r="K46" s="377"/>
    </row>
    <row r="47" spans="2:11" x14ac:dyDescent="0.2">
      <c r="B47" s="407"/>
      <c r="C47" s="288">
        <f>C46+1</f>
        <v>45769</v>
      </c>
      <c r="D47" s="316"/>
      <c r="E47" s="317"/>
      <c r="F47" s="318"/>
      <c r="H47" s="376" t="str">
        <f t="shared" si="8"/>
        <v/>
      </c>
      <c r="I47" s="376"/>
      <c r="J47" s="377" t="str">
        <f t="shared" si="9"/>
        <v/>
      </c>
      <c r="K47" s="377"/>
    </row>
    <row r="48" spans="2:11" x14ac:dyDescent="0.2">
      <c r="B48" s="407"/>
      <c r="C48" s="288">
        <f>C47+1</f>
        <v>45770</v>
      </c>
      <c r="D48" s="316"/>
      <c r="E48" s="317"/>
      <c r="F48" s="318"/>
      <c r="H48" s="376" t="str">
        <f t="shared" si="8"/>
        <v/>
      </c>
      <c r="I48" s="376"/>
      <c r="J48" s="377" t="str">
        <f t="shared" si="9"/>
        <v/>
      </c>
      <c r="K48" s="377"/>
    </row>
    <row r="49" spans="2:11" x14ac:dyDescent="0.2">
      <c r="B49" s="407"/>
      <c r="C49" s="288">
        <f>C48+1</f>
        <v>45771</v>
      </c>
      <c r="D49" s="312"/>
      <c r="E49" s="313"/>
      <c r="F49" s="314"/>
      <c r="H49" s="376" t="str">
        <f>IF(AND(F49&gt;0,$D$8&lt;&gt;"Szaktárgy"),"nem jó a kitöltés!","")</f>
        <v/>
      </c>
      <c r="I49" s="376"/>
      <c r="J49" s="377" t="str">
        <f t="shared" si="9"/>
        <v/>
      </c>
      <c r="K49" s="377"/>
    </row>
    <row r="50" spans="2:11" x14ac:dyDescent="0.2">
      <c r="B50" s="407"/>
      <c r="C50" s="288">
        <f>C49+1</f>
        <v>45772</v>
      </c>
      <c r="D50" s="312"/>
      <c r="E50" s="313"/>
      <c r="F50" s="314"/>
      <c r="H50" s="376" t="str">
        <f>IF(AND(F50&gt;0,$D$8&lt;&gt;"Szaktárgy"),"nem jó a kitöltés!","")</f>
        <v/>
      </c>
      <c r="I50" s="376"/>
      <c r="J50" s="377" t="str">
        <f t="shared" si="9"/>
        <v/>
      </c>
      <c r="K50" s="377"/>
    </row>
    <row r="51" spans="2:11" ht="15.75" thickBot="1" x14ac:dyDescent="0.25">
      <c r="B51" s="408"/>
      <c r="C51" s="284">
        <f>C50+1</f>
        <v>45773</v>
      </c>
      <c r="D51" s="285"/>
      <c r="E51" s="286"/>
      <c r="F51" s="287"/>
      <c r="H51" s="376" t="str">
        <f>IF(AND(F51&gt;0,$D$8&lt;&gt;"Szaktárgy"),"nem jó a kitöltés!","")</f>
        <v/>
      </c>
      <c r="I51" s="376"/>
      <c r="J51" s="377" t="str">
        <f t="shared" si="9"/>
        <v/>
      </c>
      <c r="K51" s="377"/>
    </row>
    <row r="52" spans="2:11" ht="17.25" thickTop="1" thickBot="1" x14ac:dyDescent="0.3">
      <c r="B52" s="380" t="s">
        <v>6</v>
      </c>
      <c r="C52" s="381"/>
      <c r="D52" s="40">
        <f>SUM(D46:D51)</f>
        <v>0</v>
      </c>
      <c r="E52" s="41">
        <f>SUM(E46:E51)</f>
        <v>0</v>
      </c>
      <c r="F52" s="42">
        <f>SUM(F46:F51)</f>
        <v>0</v>
      </c>
      <c r="J52" s="377"/>
      <c r="K52" s="377"/>
    </row>
    <row r="53" spans="2:11" ht="15.75" thickTop="1" x14ac:dyDescent="0.2">
      <c r="B53" s="373" t="s">
        <v>43</v>
      </c>
      <c r="C53" s="282">
        <f>C50+3</f>
        <v>45775</v>
      </c>
      <c r="D53" s="69"/>
      <c r="E53" s="70"/>
      <c r="F53" s="71"/>
      <c r="H53" s="376" t="str">
        <f t="shared" ref="H53:H55" si="10">IF(AND(F53&gt;0,$D$8&lt;&gt;"Szaktárgy"),"nem jó a kitöltés!","")</f>
        <v/>
      </c>
      <c r="I53" s="376"/>
      <c r="J53" s="377" t="str">
        <f t="shared" ref="J53:J58" si="11">IF(AND(OR(D53&gt;0,E53&gt;0),$D$8&lt;&gt;"Szaktárgy"),"nem jó a kitöltés!","")</f>
        <v/>
      </c>
      <c r="K53" s="377"/>
    </row>
    <row r="54" spans="2:11" x14ac:dyDescent="0.2">
      <c r="B54" s="374"/>
      <c r="C54" s="283">
        <f>C53+1</f>
        <v>45776</v>
      </c>
      <c r="D54" s="72"/>
      <c r="E54" s="73"/>
      <c r="F54" s="74"/>
      <c r="H54" s="376" t="str">
        <f t="shared" si="10"/>
        <v/>
      </c>
      <c r="I54" s="376"/>
      <c r="J54" s="377" t="str">
        <f t="shared" si="11"/>
        <v/>
      </c>
      <c r="K54" s="377"/>
    </row>
    <row r="55" spans="2:11" x14ac:dyDescent="0.2">
      <c r="B55" s="374"/>
      <c r="C55" s="283">
        <f>C54+1</f>
        <v>45777</v>
      </c>
      <c r="D55" s="72"/>
      <c r="E55" s="73"/>
      <c r="F55" s="74"/>
      <c r="H55" s="376" t="str">
        <f t="shared" si="10"/>
        <v/>
      </c>
      <c r="I55" s="376"/>
      <c r="J55" s="377" t="str">
        <f t="shared" si="11"/>
        <v/>
      </c>
      <c r="K55" s="377"/>
    </row>
    <row r="56" spans="2:11" x14ac:dyDescent="0.2">
      <c r="B56" s="374"/>
      <c r="C56" s="288">
        <f>C55+1</f>
        <v>45778</v>
      </c>
      <c r="D56" s="312"/>
      <c r="E56" s="313"/>
      <c r="F56" s="314"/>
      <c r="H56" s="376" t="str">
        <f>IF(AND(F56&gt;0,$D$8&lt;&gt;"Szaktárgy"),"nem jó a kitöltés!","")</f>
        <v/>
      </c>
      <c r="I56" s="376"/>
      <c r="J56" s="377" t="str">
        <f t="shared" si="11"/>
        <v/>
      </c>
      <c r="K56" s="377"/>
    </row>
    <row r="57" spans="2:11" x14ac:dyDescent="0.2">
      <c r="B57" s="374"/>
      <c r="C57" s="288">
        <f>C56+1</f>
        <v>45779</v>
      </c>
      <c r="D57" s="312"/>
      <c r="E57" s="313"/>
      <c r="F57" s="314"/>
      <c r="H57" s="376" t="str">
        <f>IF(AND(F57&gt;0,$D$8&lt;&gt;"Szaktárgy"),"nem jó a kitöltés!","")</f>
        <v/>
      </c>
      <c r="I57" s="376"/>
      <c r="J57" s="377" t="str">
        <f t="shared" si="11"/>
        <v/>
      </c>
      <c r="K57" s="377"/>
    </row>
    <row r="58" spans="2:11" ht="15.75" thickBot="1" x14ac:dyDescent="0.25">
      <c r="B58" s="375"/>
      <c r="C58" s="284">
        <f>C57+1</f>
        <v>45780</v>
      </c>
      <c r="D58" s="285"/>
      <c r="E58" s="286"/>
      <c r="F58" s="287"/>
      <c r="H58" s="376" t="str">
        <f>IF(AND(F58&gt;0,$D$8&lt;&gt;"Szaktárgy"),"nem jó a kitöltés!","")</f>
        <v/>
      </c>
      <c r="I58" s="376"/>
      <c r="J58" s="377" t="str">
        <f t="shared" si="11"/>
        <v/>
      </c>
      <c r="K58" s="377"/>
    </row>
    <row r="59" spans="2:11" ht="17.25" thickTop="1" thickBot="1" x14ac:dyDescent="0.3">
      <c r="B59" s="380" t="s">
        <v>6</v>
      </c>
      <c r="C59" s="381"/>
      <c r="D59" s="40">
        <f>SUM(D53:D58)</f>
        <v>0</v>
      </c>
      <c r="E59" s="41">
        <f>SUM(E53:E58)</f>
        <v>0</v>
      </c>
      <c r="F59" s="42">
        <f>SUM(F53:F58)</f>
        <v>0</v>
      </c>
      <c r="J59" s="377"/>
      <c r="K59" s="377"/>
    </row>
    <row r="60" spans="2:11" ht="15.75" thickTop="1" x14ac:dyDescent="0.2">
      <c r="B60" s="373" t="s">
        <v>44</v>
      </c>
      <c r="C60" s="282">
        <f>C57+3</f>
        <v>45782</v>
      </c>
      <c r="D60" s="69"/>
      <c r="E60" s="70"/>
      <c r="F60" s="71"/>
      <c r="H60" s="376" t="str">
        <f t="shared" ref="H60:H62" si="12">IF(AND(F60&gt;0,$D$8&lt;&gt;"Szaktárgy"),"nem jó a kitöltés!","")</f>
        <v/>
      </c>
      <c r="I60" s="376"/>
      <c r="J60" s="377" t="str">
        <f t="shared" ref="J60:J65" si="13">IF(AND(OR(D60&gt;0,E60&gt;0),$D$8&lt;&gt;"Szaktárgy"),"nem jó a kitöltés!","")</f>
        <v/>
      </c>
      <c r="K60" s="377"/>
    </row>
    <row r="61" spans="2:11" x14ac:dyDescent="0.2">
      <c r="B61" s="374"/>
      <c r="C61" s="283">
        <f>C60+1</f>
        <v>45783</v>
      </c>
      <c r="D61" s="72"/>
      <c r="E61" s="73"/>
      <c r="F61" s="74"/>
      <c r="H61" s="376" t="str">
        <f t="shared" si="12"/>
        <v/>
      </c>
      <c r="I61" s="376"/>
      <c r="J61" s="377" t="str">
        <f t="shared" si="13"/>
        <v/>
      </c>
      <c r="K61" s="377"/>
    </row>
    <row r="62" spans="2:11" x14ac:dyDescent="0.2">
      <c r="B62" s="374"/>
      <c r="C62" s="283">
        <f>C61+1</f>
        <v>45784</v>
      </c>
      <c r="D62" s="72"/>
      <c r="E62" s="73"/>
      <c r="F62" s="74"/>
      <c r="H62" s="376" t="str">
        <f t="shared" si="12"/>
        <v/>
      </c>
      <c r="I62" s="376"/>
      <c r="J62" s="377" t="str">
        <f t="shared" si="13"/>
        <v/>
      </c>
      <c r="K62" s="377"/>
    </row>
    <row r="63" spans="2:11" x14ac:dyDescent="0.2">
      <c r="B63" s="374"/>
      <c r="C63" s="283">
        <f>C62+1</f>
        <v>45785</v>
      </c>
      <c r="D63" s="261"/>
      <c r="E63" s="263"/>
      <c r="F63" s="262"/>
      <c r="H63" s="376" t="str">
        <f>IF(AND(F63&gt;0,$D$8&lt;&gt;"Szaktárgy"),"nem jó a kitöltés!","")</f>
        <v/>
      </c>
      <c r="I63" s="376"/>
      <c r="J63" s="377" t="str">
        <f t="shared" si="13"/>
        <v/>
      </c>
      <c r="K63" s="377"/>
    </row>
    <row r="64" spans="2:11" x14ac:dyDescent="0.2">
      <c r="B64" s="374"/>
      <c r="C64" s="283">
        <f>C63+1</f>
        <v>45786</v>
      </c>
      <c r="D64" s="261"/>
      <c r="E64" s="263"/>
      <c r="F64" s="262"/>
      <c r="H64" s="376" t="str">
        <f>IF(AND(F64&gt;0,$D$8&lt;&gt;"Szaktárgy"),"nem jó a kitöltés!","")</f>
        <v/>
      </c>
      <c r="I64" s="376"/>
      <c r="J64" s="377" t="str">
        <f t="shared" si="13"/>
        <v/>
      </c>
      <c r="K64" s="377"/>
    </row>
    <row r="65" spans="2:11" ht="15.75" thickBot="1" x14ac:dyDescent="0.25">
      <c r="B65" s="375"/>
      <c r="C65" s="284">
        <f>C64+1</f>
        <v>45787</v>
      </c>
      <c r="D65" s="285"/>
      <c r="E65" s="286"/>
      <c r="F65" s="287"/>
      <c r="H65" s="376" t="str">
        <f>IF(AND(F65&gt;0,$D$8&lt;&gt;"Szaktárgy"),"nem jó a kitöltés!","")</f>
        <v/>
      </c>
      <c r="I65" s="376"/>
      <c r="J65" s="377" t="str">
        <f t="shared" si="13"/>
        <v/>
      </c>
      <c r="K65" s="377"/>
    </row>
    <row r="66" spans="2:11" ht="17.25" thickTop="1" thickBot="1" x14ac:dyDescent="0.3">
      <c r="B66" s="380" t="s">
        <v>6</v>
      </c>
      <c r="C66" s="381"/>
      <c r="D66" s="40">
        <f>SUM(D60:D65)</f>
        <v>0</v>
      </c>
      <c r="E66" s="41">
        <f>SUM(E60:E65)</f>
        <v>0</v>
      </c>
      <c r="F66" s="42">
        <f>SUM(F60:F65)</f>
        <v>0</v>
      </c>
      <c r="J66" s="377"/>
      <c r="K66" s="377"/>
    </row>
    <row r="67" spans="2:11" ht="15.75" thickTop="1" x14ac:dyDescent="0.2">
      <c r="B67" s="373" t="s">
        <v>45</v>
      </c>
      <c r="C67" s="282">
        <f>C64+3</f>
        <v>45789</v>
      </c>
      <c r="D67" s="69"/>
      <c r="E67" s="70"/>
      <c r="F67" s="71"/>
      <c r="H67" s="376" t="str">
        <f t="shared" ref="H67:H69" si="14">IF(AND(F67&gt;0,$D$8&lt;&gt;"Szaktárgy"),"nem jó a kitöltés!","")</f>
        <v/>
      </c>
      <c r="I67" s="376"/>
      <c r="J67" s="377" t="str">
        <f t="shared" ref="J67:J72" si="15">IF(AND(OR(D67&gt;0,E67&gt;0),$D$8&lt;&gt;"Szaktárgy"),"nem jó a kitöltés!","")</f>
        <v/>
      </c>
      <c r="K67" s="377"/>
    </row>
    <row r="68" spans="2:11" x14ac:dyDescent="0.2">
      <c r="B68" s="374"/>
      <c r="C68" s="283">
        <f>C67+1</f>
        <v>45790</v>
      </c>
      <c r="D68" s="72"/>
      <c r="E68" s="73"/>
      <c r="F68" s="74"/>
      <c r="H68" s="376" t="str">
        <f t="shared" si="14"/>
        <v/>
      </c>
      <c r="I68" s="376"/>
      <c r="J68" s="377" t="str">
        <f t="shared" si="15"/>
        <v/>
      </c>
      <c r="K68" s="377"/>
    </row>
    <row r="69" spans="2:11" x14ac:dyDescent="0.2">
      <c r="B69" s="374"/>
      <c r="C69" s="283">
        <f>C68+1</f>
        <v>45791</v>
      </c>
      <c r="D69" s="72"/>
      <c r="E69" s="73"/>
      <c r="F69" s="74"/>
      <c r="H69" s="376" t="str">
        <f t="shared" si="14"/>
        <v/>
      </c>
      <c r="I69" s="376"/>
      <c r="J69" s="377" t="str">
        <f t="shared" si="15"/>
        <v/>
      </c>
      <c r="K69" s="377"/>
    </row>
    <row r="70" spans="2:11" x14ac:dyDescent="0.2">
      <c r="B70" s="374"/>
      <c r="C70" s="283">
        <f>C69+1</f>
        <v>45792</v>
      </c>
      <c r="D70" s="261"/>
      <c r="E70" s="263"/>
      <c r="F70" s="262"/>
      <c r="H70" s="376" t="str">
        <f>IF(AND(F70&gt;0,$D$8&lt;&gt;"Szaktárgy"),"nem jó a kitöltés!","")</f>
        <v/>
      </c>
      <c r="I70" s="376"/>
      <c r="J70" s="377" t="str">
        <f t="shared" si="15"/>
        <v/>
      </c>
      <c r="K70" s="377"/>
    </row>
    <row r="71" spans="2:11" x14ac:dyDescent="0.2">
      <c r="B71" s="374"/>
      <c r="C71" s="283">
        <f>C70+1</f>
        <v>45793</v>
      </c>
      <c r="D71" s="261"/>
      <c r="E71" s="263"/>
      <c r="F71" s="262"/>
      <c r="H71" s="376" t="str">
        <f>IF(AND(F71&gt;0,$D$8&lt;&gt;"Szaktárgy"),"nem jó a kitöltés!","")</f>
        <v/>
      </c>
      <c r="I71" s="376"/>
      <c r="J71" s="377" t="str">
        <f t="shared" si="15"/>
        <v/>
      </c>
      <c r="K71" s="377"/>
    </row>
    <row r="72" spans="2:11" ht="15.75" thickBot="1" x14ac:dyDescent="0.25">
      <c r="B72" s="375"/>
      <c r="C72" s="322">
        <f>C71+1</f>
        <v>45794</v>
      </c>
      <c r="D72" s="319"/>
      <c r="E72" s="320"/>
      <c r="F72" s="321"/>
      <c r="H72" s="376" t="str">
        <f>IF(AND(F72&gt;0,$D$8&lt;&gt;"Szaktárgy"),"nem jó a kitöltés!","")</f>
        <v/>
      </c>
      <c r="I72" s="376"/>
      <c r="J72" s="377" t="str">
        <f t="shared" si="15"/>
        <v/>
      </c>
      <c r="K72" s="377"/>
    </row>
    <row r="73" spans="2:11" ht="17.25" thickTop="1" thickBot="1" x14ac:dyDescent="0.3">
      <c r="B73" s="380" t="s">
        <v>6</v>
      </c>
      <c r="C73" s="381"/>
      <c r="D73" s="40">
        <f>SUM(D67:D72)</f>
        <v>0</v>
      </c>
      <c r="E73" s="41">
        <f>SUM(E67:E72)</f>
        <v>0</v>
      </c>
      <c r="F73" s="42">
        <f>SUM(F67:F72)</f>
        <v>0</v>
      </c>
      <c r="J73" s="377"/>
      <c r="K73" s="377"/>
    </row>
    <row r="74" spans="2:11" ht="17.25" thickTop="1" thickBot="1" x14ac:dyDescent="0.3">
      <c r="B74" s="370" t="s">
        <v>1</v>
      </c>
      <c r="C74" s="370"/>
      <c r="D74" s="43">
        <f>D24+D31+D38+D45+D59+D66+D73</f>
        <v>0</v>
      </c>
      <c r="E74" s="43">
        <f>E24+E31+E38+E45+E59+E66+E73</f>
        <v>0</v>
      </c>
      <c r="F74" s="43">
        <f>F24+F31+F38+F45+F59+F66+F73</f>
        <v>0</v>
      </c>
      <c r="G74" s="43" t="e">
        <f>G24+G31+#REF!+G45+#REF!</f>
        <v>#REF!</v>
      </c>
    </row>
    <row r="75" spans="2:11" ht="16.5" thickTop="1" thickBot="1" x14ac:dyDescent="0.25">
      <c r="B75" s="371" t="s">
        <v>65</v>
      </c>
      <c r="C75" s="371"/>
      <c r="D75" s="44">
        <f>'Díjak és etapok'!$C$12</f>
        <v>8400</v>
      </c>
      <c r="E75" s="44">
        <f>'Díjak és etapok'!$C$13</f>
        <v>4200</v>
      </c>
      <c r="F75" s="44">
        <f>'Díjak és etapok'!$C$14</f>
        <v>4200</v>
      </c>
    </row>
    <row r="76" spans="2:11" s="45" customFormat="1" ht="25.5" customHeight="1" thickTop="1" thickBot="1" x14ac:dyDescent="0.25">
      <c r="B76" s="372" t="s">
        <v>68</v>
      </c>
      <c r="C76" s="372"/>
      <c r="D76" s="46">
        <f>IF(D17="",0,D75*D74)</f>
        <v>0</v>
      </c>
      <c r="E76" s="46">
        <f>IF($E$17="",0,E75*E74)</f>
        <v>0</v>
      </c>
      <c r="F76" s="46">
        <f>IF($F$17="",0,F75*F74)</f>
        <v>0</v>
      </c>
    </row>
    <row r="77" spans="2:11" ht="17.25" thickTop="1" thickBot="1" x14ac:dyDescent="0.3">
      <c r="B77" s="378" t="s">
        <v>1</v>
      </c>
      <c r="C77" s="379"/>
      <c r="D77" s="47"/>
      <c r="E77" s="47"/>
      <c r="F77" s="34">
        <f>D76+E76+F76</f>
        <v>0</v>
      </c>
    </row>
    <row r="78" spans="2:11" ht="15.75" thickTop="1" x14ac:dyDescent="0.2"/>
    <row r="79" spans="2:11" ht="10.5" customHeight="1" x14ac:dyDescent="0.2"/>
    <row r="80" spans="2:11" ht="15.75" x14ac:dyDescent="0.25">
      <c r="B80" s="362" t="s">
        <v>139</v>
      </c>
      <c r="C80" s="362"/>
      <c r="D80" s="362"/>
      <c r="E80" s="362"/>
      <c r="F80" s="362"/>
      <c r="G80" s="362"/>
      <c r="H80" s="362"/>
    </row>
    <row r="81" spans="1:16" ht="15.75" x14ac:dyDescent="0.25">
      <c r="B81" s="362" t="s">
        <v>140</v>
      </c>
      <c r="C81" s="362"/>
      <c r="D81" s="362"/>
      <c r="E81" s="362"/>
      <c r="F81" s="362"/>
      <c r="G81" s="362"/>
      <c r="H81" s="362"/>
      <c r="I81" s="362"/>
      <c r="J81" s="362"/>
      <c r="K81" s="362"/>
      <c r="L81" s="362"/>
      <c r="M81" s="162"/>
      <c r="N81" s="162"/>
      <c r="O81" s="162"/>
      <c r="P81" s="162"/>
    </row>
    <row r="82" spans="1:16" ht="15.75" x14ac:dyDescent="0.25">
      <c r="B82" s="9"/>
    </row>
    <row r="83" spans="1:16" ht="15.75" x14ac:dyDescent="0.25">
      <c r="B83" s="361" t="s">
        <v>64</v>
      </c>
      <c r="C83" s="361"/>
      <c r="D83" s="361"/>
      <c r="E83" s="169" t="str">
        <f>IF(F77=0,"",F77)</f>
        <v/>
      </c>
      <c r="F83" s="362" t="s">
        <v>95</v>
      </c>
      <c r="G83" s="362"/>
      <c r="H83" s="362"/>
      <c r="I83" s="362"/>
      <c r="J83" s="362"/>
      <c r="K83" s="362"/>
      <c r="L83" s="362"/>
      <c r="M83" s="362"/>
    </row>
    <row r="84" spans="1:16" x14ac:dyDescent="0.2">
      <c r="C84" s="48"/>
    </row>
    <row r="85" spans="1:16" x14ac:dyDescent="0.2">
      <c r="A85" s="21" t="s">
        <v>32</v>
      </c>
      <c r="B85" s="315" t="str">
        <f>CONCATENATE('Díjak és etapok'!C6,".")</f>
        <v>2025.</v>
      </c>
      <c r="C85" s="269"/>
    </row>
    <row r="86" spans="1:16" x14ac:dyDescent="0.2">
      <c r="C86" s="48"/>
    </row>
    <row r="87" spans="1:16" ht="13.5" customHeight="1" x14ac:dyDescent="0.2">
      <c r="C87" s="48"/>
    </row>
    <row r="88" spans="1:16" ht="37.5" customHeight="1" x14ac:dyDescent="0.2">
      <c r="C88" s="363"/>
      <c r="D88" s="363"/>
      <c r="E88" s="177"/>
      <c r="F88" s="364"/>
      <c r="G88" s="364"/>
      <c r="H88" s="364"/>
      <c r="J88" s="364"/>
      <c r="K88" s="364"/>
      <c r="L88" s="364"/>
      <c r="M88" s="364"/>
    </row>
    <row r="89" spans="1:16" ht="15.75" x14ac:dyDescent="0.25">
      <c r="C89" s="357">
        <f>'Tantárgyi törzsadatok'!C11</f>
        <v>0</v>
      </c>
      <c r="D89" s="357"/>
      <c r="E89" s="181"/>
      <c r="F89" s="357">
        <f>'Tantárgyi törzsadatok'!C13</f>
        <v>0</v>
      </c>
      <c r="G89" s="357"/>
      <c r="H89" s="357"/>
      <c r="I89" s="181"/>
      <c r="J89" s="358" t="str">
        <f>'Díjak és etapok'!F24</f>
        <v>Dr. Czopf László</v>
      </c>
      <c r="K89" s="358"/>
      <c r="L89" s="358"/>
      <c r="M89" s="358"/>
    </row>
    <row r="90" spans="1:16" x14ac:dyDescent="0.2">
      <c r="C90" s="359" t="s">
        <v>69</v>
      </c>
      <c r="D90" s="359"/>
      <c r="E90" s="1"/>
      <c r="F90" s="359" t="s">
        <v>70</v>
      </c>
      <c r="G90" s="360"/>
      <c r="H90" s="360"/>
      <c r="I90" s="1"/>
      <c r="J90" s="359" t="s">
        <v>71</v>
      </c>
      <c r="K90" s="359"/>
      <c r="L90" s="359"/>
      <c r="M90" s="359"/>
    </row>
    <row r="91" spans="1:16" ht="15" customHeight="1" thickBot="1" x14ac:dyDescent="0.25">
      <c r="D91" s="365"/>
      <c r="E91" s="366"/>
    </row>
    <row r="92" spans="1:16" ht="33" customHeight="1" thickTop="1" thickBot="1" x14ac:dyDescent="0.25">
      <c r="A92" s="367" t="s">
        <v>157</v>
      </c>
      <c r="B92" s="368"/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9"/>
    </row>
    <row r="93" spans="1:16" ht="9" customHeight="1" thickTop="1" thickBot="1" x14ac:dyDescent="0.25">
      <c r="C93" s="48"/>
    </row>
    <row r="94" spans="1:16" ht="15.75" customHeight="1" x14ac:dyDescent="0.2">
      <c r="A94" s="62"/>
      <c r="B94" s="59" t="s">
        <v>158</v>
      </c>
      <c r="C94" s="49"/>
      <c r="D94" s="50"/>
      <c r="E94" s="50"/>
      <c r="F94" s="51"/>
    </row>
    <row r="95" spans="1:16" ht="9.75" customHeight="1" x14ac:dyDescent="0.2">
      <c r="A95" s="58"/>
      <c r="B95" s="60"/>
      <c r="C95" s="52"/>
      <c r="D95" s="53"/>
      <c r="E95" s="53"/>
      <c r="F95" s="54"/>
    </row>
    <row r="96" spans="1:16" ht="17.25" customHeight="1" x14ac:dyDescent="0.2">
      <c r="A96" s="355" t="s">
        <v>2</v>
      </c>
      <c r="B96" s="356"/>
      <c r="C96" s="65"/>
      <c r="D96" s="66"/>
      <c r="E96" s="64" t="s">
        <v>3</v>
      </c>
      <c r="F96" s="67"/>
    </row>
    <row r="97" spans="1:6" ht="9.75" customHeight="1" x14ac:dyDescent="0.2">
      <c r="A97" s="58"/>
      <c r="B97" s="61"/>
      <c r="C97" s="52"/>
      <c r="D97" s="53"/>
      <c r="E97" s="53"/>
      <c r="F97" s="54"/>
    </row>
    <row r="98" spans="1:6" ht="21.75" customHeight="1" thickBot="1" x14ac:dyDescent="0.25">
      <c r="A98" s="63"/>
      <c r="B98" s="163" t="s">
        <v>4</v>
      </c>
      <c r="C98" s="57"/>
      <c r="D98" s="55"/>
      <c r="E98" s="55"/>
      <c r="F98" s="56"/>
    </row>
  </sheetData>
  <sheetProtection algorithmName="SHA-512" hashValue="KKHeilHEdUxtWpnHdqZ4H9MdqWIPvB9xZuAjYKBvLGlBAyn+35Klh9EGW9JLKqGTWC6PsUXWm+ZJF0w/6WfBCQ==" saltValue="kRLbdlGHrnCbq0AbqzpgQw==" spinCount="100000" sheet="1" formatCells="0" selectLockedCells="1"/>
  <mergeCells count="170">
    <mergeCell ref="H72:I72"/>
    <mergeCell ref="J72:K72"/>
    <mergeCell ref="B81:L81"/>
    <mergeCell ref="B80:H80"/>
    <mergeCell ref="H23:I23"/>
    <mergeCell ref="J23:K23"/>
    <mergeCell ref="H30:I30"/>
    <mergeCell ref="J30:K30"/>
    <mergeCell ref="H37:I37"/>
    <mergeCell ref="J37:K37"/>
    <mergeCell ref="H44:I44"/>
    <mergeCell ref="J45:K45"/>
    <mergeCell ref="J41:K41"/>
    <mergeCell ref="H42:I42"/>
    <mergeCell ref="H40:I40"/>
    <mergeCell ref="J44:K44"/>
    <mergeCell ref="J24:K24"/>
    <mergeCell ref="H25:I25"/>
    <mergeCell ref="J25:K25"/>
    <mergeCell ref="H26:I26"/>
    <mergeCell ref="J26:K26"/>
    <mergeCell ref="H28:I28"/>
    <mergeCell ref="J28:K28"/>
    <mergeCell ref="B38:C38"/>
    <mergeCell ref="A1:B1"/>
    <mergeCell ref="L1:M1"/>
    <mergeCell ref="A92:M92"/>
    <mergeCell ref="A96:B96"/>
    <mergeCell ref="B83:D83"/>
    <mergeCell ref="F83:M83"/>
    <mergeCell ref="C88:D88"/>
    <mergeCell ref="F88:H88"/>
    <mergeCell ref="D91:E91"/>
    <mergeCell ref="F90:H90"/>
    <mergeCell ref="B77:C77"/>
    <mergeCell ref="C90:D90"/>
    <mergeCell ref="B74:C74"/>
    <mergeCell ref="J88:M88"/>
    <mergeCell ref="C89:D89"/>
    <mergeCell ref="F89:H89"/>
    <mergeCell ref="B75:C75"/>
    <mergeCell ref="J90:M90"/>
    <mergeCell ref="J89:M89"/>
    <mergeCell ref="B76:C76"/>
    <mergeCell ref="J42:K42"/>
    <mergeCell ref="J40:K40"/>
    <mergeCell ref="H41:I41"/>
    <mergeCell ref="B45:C45"/>
    <mergeCell ref="H27:I27"/>
    <mergeCell ref="J27:K27"/>
    <mergeCell ref="H18:I18"/>
    <mergeCell ref="H22:I22"/>
    <mergeCell ref="J18:K18"/>
    <mergeCell ref="H19:I19"/>
    <mergeCell ref="J20:K20"/>
    <mergeCell ref="A11:C11"/>
    <mergeCell ref="D11:F11"/>
    <mergeCell ref="B13:C13"/>
    <mergeCell ref="D13:F13"/>
    <mergeCell ref="A9:C9"/>
    <mergeCell ref="H21:I21"/>
    <mergeCell ref="H13:M13"/>
    <mergeCell ref="B14:C14"/>
    <mergeCell ref="D14:F14"/>
    <mergeCell ref="B15:C15"/>
    <mergeCell ref="D7:F7"/>
    <mergeCell ref="H7:J7"/>
    <mergeCell ref="K7:M7"/>
    <mergeCell ref="D9:F9"/>
    <mergeCell ref="A10:C10"/>
    <mergeCell ref="D10:F10"/>
    <mergeCell ref="B18:B23"/>
    <mergeCell ref="D15:F15"/>
    <mergeCell ref="A2:F2"/>
    <mergeCell ref="A3:F3"/>
    <mergeCell ref="H3:J3"/>
    <mergeCell ref="A5:C5"/>
    <mergeCell ref="F5:J5"/>
    <mergeCell ref="A8:C8"/>
    <mergeCell ref="D8:F8"/>
    <mergeCell ref="A6:C6"/>
    <mergeCell ref="D6:F6"/>
    <mergeCell ref="A7:C7"/>
    <mergeCell ref="K3:M3"/>
    <mergeCell ref="H43:I43"/>
    <mergeCell ref="J43:K43"/>
    <mergeCell ref="L5:M5"/>
    <mergeCell ref="J21:K21"/>
    <mergeCell ref="J19:K19"/>
    <mergeCell ref="H20:I20"/>
    <mergeCell ref="J31:K31"/>
    <mergeCell ref="J22:K22"/>
    <mergeCell ref="J39:K39"/>
    <mergeCell ref="J33:K33"/>
    <mergeCell ref="H34:I34"/>
    <mergeCell ref="J34:K34"/>
    <mergeCell ref="H35:I35"/>
    <mergeCell ref="J35:K35"/>
    <mergeCell ref="H36:I36"/>
    <mergeCell ref="H39:I39"/>
    <mergeCell ref="J29:K29"/>
    <mergeCell ref="H29:I29"/>
    <mergeCell ref="J38:K38"/>
    <mergeCell ref="H32:I32"/>
    <mergeCell ref="J32:K32"/>
    <mergeCell ref="H33:I33"/>
    <mergeCell ref="J36:K36"/>
    <mergeCell ref="B31:C31"/>
    <mergeCell ref="H62:I62"/>
    <mergeCell ref="J62:K62"/>
    <mergeCell ref="H53:I53"/>
    <mergeCell ref="J53:K53"/>
    <mergeCell ref="H54:I54"/>
    <mergeCell ref="J54:K54"/>
    <mergeCell ref="H55:I55"/>
    <mergeCell ref="J55:K55"/>
    <mergeCell ref="H56:I56"/>
    <mergeCell ref="J56:K56"/>
    <mergeCell ref="J57:K57"/>
    <mergeCell ref="B59:C59"/>
    <mergeCell ref="J59:K59"/>
    <mergeCell ref="H60:I60"/>
    <mergeCell ref="J60:K60"/>
    <mergeCell ref="H61:I61"/>
    <mergeCell ref="J61:K61"/>
    <mergeCell ref="H57:I57"/>
    <mergeCell ref="H58:I58"/>
    <mergeCell ref="J58:K58"/>
    <mergeCell ref="B60:B65"/>
    <mergeCell ref="B53:B58"/>
    <mergeCell ref="B39:B44"/>
    <mergeCell ref="B32:B37"/>
    <mergeCell ref="B25:B30"/>
    <mergeCell ref="B66:C66"/>
    <mergeCell ref="B24:C24"/>
    <mergeCell ref="B73:C73"/>
    <mergeCell ref="J73:K73"/>
    <mergeCell ref="H67:I67"/>
    <mergeCell ref="J67:K67"/>
    <mergeCell ref="H68:I68"/>
    <mergeCell ref="J68:K68"/>
    <mergeCell ref="H69:I69"/>
    <mergeCell ref="J69:K69"/>
    <mergeCell ref="H70:I70"/>
    <mergeCell ref="J70:K70"/>
    <mergeCell ref="B67:B72"/>
    <mergeCell ref="H71:I71"/>
    <mergeCell ref="H63:I63"/>
    <mergeCell ref="J63:K63"/>
    <mergeCell ref="H64:I64"/>
    <mergeCell ref="J64:K64"/>
    <mergeCell ref="J71:K71"/>
    <mergeCell ref="J66:K66"/>
    <mergeCell ref="H65:I65"/>
    <mergeCell ref="J65:K65"/>
    <mergeCell ref="B52:C52"/>
    <mergeCell ref="J52:K52"/>
    <mergeCell ref="B46:B51"/>
    <mergeCell ref="H46:I46"/>
    <mergeCell ref="J46:K46"/>
    <mergeCell ref="H47:I47"/>
    <mergeCell ref="J47:K47"/>
    <mergeCell ref="H48:I48"/>
    <mergeCell ref="J48:K48"/>
    <mergeCell ref="H49:I49"/>
    <mergeCell ref="J49:K49"/>
    <mergeCell ref="H50:I50"/>
    <mergeCell ref="J50:K50"/>
    <mergeCell ref="H51:I51"/>
    <mergeCell ref="J51:K51"/>
  </mergeCells>
  <printOptions horizontalCentered="1"/>
  <pageMargins left="0.51181102362204722" right="0.51181102362204722" top="0.51181102362204722" bottom="0.51181102362204722" header="0.23622047244094491" footer="0.23622047244094491"/>
  <pageSetup paperSize="9" scale="47" orientation="portrait" r:id="rId1"/>
  <headerFooter alignWithMargins="0">
    <oddHeader>&amp;CM-es (magyar)</oddHeader>
    <oddFooter>&amp;L&amp;"Arial,Félkövér"&amp;9Teljesítésigazolás
M&amp;"Arial,Normál"-es szerződéshez&amp;R&amp;10&amp;F/&amp;A/PP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0">
    <tabColor indexed="45"/>
    <pageSetUpPr fitToPage="1"/>
  </sheetPr>
  <dimension ref="A1:I59"/>
  <sheetViews>
    <sheetView workbookViewId="0">
      <selection activeCell="A6" sqref="A6"/>
    </sheetView>
  </sheetViews>
  <sheetFormatPr defaultRowHeight="15" x14ac:dyDescent="0.2"/>
  <cols>
    <col min="1" max="1" width="7" style="97" customWidth="1"/>
    <col min="2" max="2" width="25.77734375" style="97" customWidth="1"/>
    <col min="3" max="3" width="11.21875" style="97" customWidth="1"/>
    <col min="4" max="4" width="1.77734375" style="97" customWidth="1"/>
    <col min="5" max="5" width="21.88671875" style="97" customWidth="1"/>
    <col min="6" max="6" width="20.77734375" style="97" customWidth="1"/>
    <col min="7" max="7" width="4" style="97" hidden="1" customWidth="1"/>
    <col min="8" max="8" width="11" style="97" customWidth="1"/>
    <col min="9" max="16384" width="8.88671875" style="97"/>
  </cols>
  <sheetData>
    <row r="1" spans="1:9" s="105" customFormat="1" ht="27" customHeight="1" x14ac:dyDescent="0.2">
      <c r="A1" s="413" t="str">
        <f>'Díjak és etapok'!C5</f>
        <v>PTE ÁOK</v>
      </c>
      <c r="B1" s="413"/>
      <c r="H1" s="414">
        <f>'Díjak és etapok'!C6</f>
        <v>2025</v>
      </c>
      <c r="I1" s="415"/>
    </row>
    <row r="2" spans="1:9" ht="18" x14ac:dyDescent="0.25">
      <c r="B2" s="424" t="s">
        <v>67</v>
      </c>
      <c r="C2" s="412"/>
      <c r="D2" s="412"/>
      <c r="E2" s="412"/>
      <c r="F2" s="412"/>
    </row>
    <row r="3" spans="1:9" ht="36" customHeight="1" x14ac:dyDescent="0.2">
      <c r="B3" s="416" t="s">
        <v>143</v>
      </c>
      <c r="C3" s="417"/>
      <c r="D3" s="417"/>
      <c r="E3" s="417"/>
      <c r="F3" s="417"/>
    </row>
    <row r="4" spans="1:9" ht="15.75" x14ac:dyDescent="0.25">
      <c r="B4" s="425" t="str">
        <f>'Tantárgyi törzsadatok'!A3</f>
        <v>2024/2025. tanév II. félév - tavaszi szemeszter</v>
      </c>
      <c r="C4" s="412"/>
      <c r="D4" s="412"/>
      <c r="E4" s="412"/>
      <c r="F4" s="412"/>
    </row>
    <row r="5" spans="1:9" ht="7.5" customHeight="1" x14ac:dyDescent="0.25">
      <c r="B5" s="98"/>
      <c r="C5" s="99"/>
      <c r="D5" s="99"/>
      <c r="E5" s="99"/>
      <c r="F5" s="99"/>
    </row>
    <row r="6" spans="1:9" s="105" customFormat="1" ht="23.25" customHeight="1" x14ac:dyDescent="0.2">
      <c r="A6" s="84"/>
      <c r="B6" s="100" t="s">
        <v>48</v>
      </c>
      <c r="C6" s="101" t="str">
        <f>IF(A6="","",VLOOKUP(A6,'Díjak és etapok'!B21:G22,2))</f>
        <v/>
      </c>
      <c r="D6" s="102" t="s">
        <v>47</v>
      </c>
      <c r="E6" s="103" t="str">
        <f>IF(A6="","",VLOOKUP(A6,'Díjak és etapok'!B21:G22,3))</f>
        <v/>
      </c>
      <c r="F6" s="104" t="str">
        <f>IF(A6="","Írja be az időszak sorszámát!",VLOOKUP(A6,'Díjak és etapok'!B21:G22,4))</f>
        <v>Írja be az időszak sorszámát!</v>
      </c>
      <c r="H6" s="106" t="str">
        <f>IF(A6&gt;MAX('Díjak és etapok'!B21:B22),"Nem jó az időszak kódszáma!","")</f>
        <v/>
      </c>
    </row>
    <row r="7" spans="1:9" ht="12" customHeight="1" x14ac:dyDescent="0.25">
      <c r="A7" s="88"/>
      <c r="B7" s="98"/>
      <c r="C7" s="99"/>
      <c r="D7" s="99"/>
      <c r="E7" s="99"/>
      <c r="F7" s="99"/>
    </row>
    <row r="8" spans="1:9" s="107" customFormat="1" ht="15.75" x14ac:dyDescent="0.25">
      <c r="B8" s="108" t="str">
        <f>'Tantárgyi törzsadatok'!B7</f>
        <v>Oktatás nyelve:</v>
      </c>
      <c r="C8" s="280" t="str">
        <f>'Tantárgyi törzsadatok'!C7</f>
        <v>magyar</v>
      </c>
      <c r="D8" s="109"/>
      <c r="E8" s="109"/>
      <c r="F8" s="110"/>
      <c r="G8" s="111"/>
      <c r="H8" s="111"/>
    </row>
    <row r="9" spans="1:9" s="107" customFormat="1" ht="15.75" x14ac:dyDescent="0.25">
      <c r="B9" s="108" t="str">
        <f>'Tantárgyi törzsadatok'!B8</f>
        <v>Tantárgy megnevezése:</v>
      </c>
      <c r="C9" s="411">
        <f>'Tantárgyi törzsadatok'!C8</f>
        <v>0</v>
      </c>
      <c r="D9" s="412"/>
      <c r="E9" s="412"/>
      <c r="F9" s="110"/>
      <c r="G9" s="110"/>
      <c r="H9" s="110"/>
    </row>
    <row r="10" spans="1:9" s="107" customFormat="1" ht="15.75" x14ac:dyDescent="0.25">
      <c r="B10" s="108" t="str">
        <f>'Tantárgyi törzsadatok'!B9</f>
        <v>Tantárgykód:</v>
      </c>
      <c r="C10" s="411">
        <f>'Tantárgyi törzsadatok'!C9</f>
        <v>0</v>
      </c>
      <c r="D10" s="412"/>
      <c r="E10" s="412"/>
      <c r="F10" s="412"/>
      <c r="G10" s="110"/>
      <c r="H10" s="110"/>
    </row>
    <row r="11" spans="1:9" s="107" customFormat="1" ht="15.75" x14ac:dyDescent="0.25">
      <c r="B11" s="108" t="str">
        <f>'Tantárgyi törzsadatok'!B10</f>
        <v>Tantárgy jellege:</v>
      </c>
      <c r="C11" s="411" t="str">
        <f>'Tantárgyi törzsadatok'!C10</f>
        <v>Szaktárgy</v>
      </c>
      <c r="D11" s="412"/>
      <c r="E11" s="412"/>
      <c r="F11" s="110"/>
      <c r="G11" s="110"/>
      <c r="H11" s="110"/>
    </row>
    <row r="12" spans="1:9" s="107" customFormat="1" ht="15.75" x14ac:dyDescent="0.25">
      <c r="B12" s="108" t="str">
        <f>'Tantárgyi törzsadatok'!B11</f>
        <v>Tantárgyfelelős neve:</v>
      </c>
      <c r="C12" s="411">
        <f>'Tantárgyi törzsadatok'!C11</f>
        <v>0</v>
      </c>
      <c r="D12" s="412"/>
      <c r="E12" s="412"/>
      <c r="F12" s="412"/>
      <c r="G12" s="110"/>
      <c r="H12" s="110"/>
    </row>
    <row r="13" spans="1:9" s="107" customFormat="1" ht="15.75" x14ac:dyDescent="0.25">
      <c r="B13" s="108" t="str">
        <f>'Tantárgyi törzsadatok'!B12</f>
        <v>Oktatást végző intézet/klinika:</v>
      </c>
      <c r="C13" s="411">
        <f>'Tantárgyi törzsadatok'!C12</f>
        <v>0</v>
      </c>
      <c r="D13" s="412"/>
      <c r="E13" s="412"/>
      <c r="F13" s="412"/>
      <c r="G13" s="110"/>
      <c r="H13" s="110"/>
    </row>
    <row r="14" spans="1:9" s="107" customFormat="1" ht="15.75" x14ac:dyDescent="0.25">
      <c r="B14" s="108" t="str">
        <f>'Tantárgyi törzsadatok'!B13</f>
        <v>Intézet/klinika vezetője:</v>
      </c>
      <c r="C14" s="411">
        <f>'Tantárgyi törzsadatok'!C13</f>
        <v>0</v>
      </c>
      <c r="D14" s="412"/>
      <c r="E14" s="412"/>
      <c r="F14" s="412"/>
      <c r="G14" s="110"/>
      <c r="H14" s="110"/>
    </row>
    <row r="15" spans="1:9" s="107" customFormat="1" x14ac:dyDescent="0.2">
      <c r="B15" s="112"/>
      <c r="C15" s="112"/>
      <c r="D15" s="112"/>
      <c r="E15" s="112"/>
      <c r="F15" s="110"/>
      <c r="G15" s="110"/>
      <c r="H15" s="110"/>
    </row>
    <row r="16" spans="1:9" ht="15.75" x14ac:dyDescent="0.25">
      <c r="B16" s="93" t="s">
        <v>49</v>
      </c>
    </row>
    <row r="17" spans="1:8" ht="16.5" thickBot="1" x14ac:dyDescent="0.3">
      <c r="B17" s="93"/>
    </row>
    <row r="18" spans="1:8" s="105" customFormat="1" ht="17.25" thickBot="1" x14ac:dyDescent="0.25">
      <c r="A18" s="113" t="s">
        <v>9</v>
      </c>
      <c r="B18" s="114" t="s">
        <v>8</v>
      </c>
      <c r="C18" s="115" t="s">
        <v>0</v>
      </c>
      <c r="D18" s="426" t="s">
        <v>11</v>
      </c>
      <c r="E18" s="426"/>
      <c r="F18" s="305" t="s">
        <v>12</v>
      </c>
    </row>
    <row r="19" spans="1:8" s="105" customFormat="1" ht="18" customHeight="1" x14ac:dyDescent="0.2">
      <c r="A19" s="85"/>
      <c r="B19" s="116" t="str">
        <f>IF(A19="","",VLOOKUP(A19,'Tantárgyi törzsadatok'!$A$16:$I$45,2))</f>
        <v/>
      </c>
      <c r="C19" s="308" t="str">
        <f>IF(A19="","",VLOOKUP(A19,'Tantárgyi törzsadatok'!$A$16:$I$45,5))</f>
        <v/>
      </c>
      <c r="D19" s="427" t="str">
        <f>IF(A19="","",VLOOKUP(A19,'Tantárgyi törzsadatok'!$A$16:$I$45,7))</f>
        <v/>
      </c>
      <c r="E19" s="427"/>
      <c r="F19" s="302" t="str">
        <f>IF(A19="","",VLOOKUP(A19,'Tantárgyi törzsadatok'!$A$16:$I$45,9))</f>
        <v/>
      </c>
      <c r="G19" s="117" t="e">
        <f>VLOOKUP(A19,'Tantárgyi törzsadatok'!$A$16:$J$45,8)</f>
        <v>#N/A</v>
      </c>
      <c r="H19" s="118"/>
    </row>
    <row r="20" spans="1:8" ht="18" customHeight="1" x14ac:dyDescent="0.2">
      <c r="A20" s="306"/>
      <c r="B20" s="119" t="str">
        <f>IF(A20="","",VLOOKUP(A20,'Tantárgyi törzsadatok'!$A$16:$I$45,2))</f>
        <v/>
      </c>
      <c r="C20" s="309" t="str">
        <f>IF(A20="","",VLOOKUP(A20,'Tantárgyi törzsadatok'!$A$16:$I$45,5))</f>
        <v/>
      </c>
      <c r="D20" s="409" t="str">
        <f>IF(A20="","",VLOOKUP(A20,'Tantárgyi törzsadatok'!$A$16:$I$45,7))</f>
        <v/>
      </c>
      <c r="E20" s="409"/>
      <c r="F20" s="303" t="str">
        <f>IF(A20="","",VLOOKUP(A20,'Tantárgyi törzsadatok'!$A$16:$I$45,9))</f>
        <v/>
      </c>
      <c r="G20" s="117" t="e">
        <f>VLOOKUP(A20,'Tantárgyi törzsadatok'!$A$16:$J$45,8)</f>
        <v>#N/A</v>
      </c>
      <c r="H20" s="118"/>
    </row>
    <row r="21" spans="1:8" ht="18" customHeight="1" x14ac:dyDescent="0.2">
      <c r="A21" s="306"/>
      <c r="B21" s="119" t="str">
        <f>IF(A21="","",VLOOKUP(A21,'Tantárgyi törzsadatok'!$A$16:$I$45,2))</f>
        <v/>
      </c>
      <c r="C21" s="309" t="str">
        <f>IF(A21="","",VLOOKUP(A21,'Tantárgyi törzsadatok'!$A$16:$I$45,5))</f>
        <v/>
      </c>
      <c r="D21" s="409" t="str">
        <f>IF(A21="","",VLOOKUP(A21,'Tantárgyi törzsadatok'!$A$16:$I$45,7))</f>
        <v/>
      </c>
      <c r="E21" s="409"/>
      <c r="F21" s="303" t="str">
        <f>IF(A21="","",VLOOKUP(A21,'Tantárgyi törzsadatok'!$A$16:$I$45,9))</f>
        <v/>
      </c>
      <c r="G21" s="117" t="e">
        <f>VLOOKUP(A21,'Tantárgyi törzsadatok'!$A$16:$J$45,8)</f>
        <v>#N/A</v>
      </c>
      <c r="H21" s="118"/>
    </row>
    <row r="22" spans="1:8" ht="18" customHeight="1" x14ac:dyDescent="0.2">
      <c r="A22" s="306"/>
      <c r="B22" s="119" t="str">
        <f>IF(A22="","",VLOOKUP(A22,'Tantárgyi törzsadatok'!$A$16:$I$45,2))</f>
        <v/>
      </c>
      <c r="C22" s="309" t="str">
        <f>IF(A22="","",VLOOKUP(A22,'Tantárgyi törzsadatok'!$A$16:$I$45,5))</f>
        <v/>
      </c>
      <c r="D22" s="409" t="str">
        <f>IF(A22="","",VLOOKUP(A22,'Tantárgyi törzsadatok'!$A$16:$I$45,7))</f>
        <v/>
      </c>
      <c r="E22" s="409"/>
      <c r="F22" s="303" t="str">
        <f>IF(A22="","",VLOOKUP(A22,'Tantárgyi törzsadatok'!$A$16:$I$45,9))</f>
        <v/>
      </c>
      <c r="G22" s="117" t="e">
        <f>VLOOKUP(A22,'Tantárgyi törzsadatok'!$A$16:$J$45,8)</f>
        <v>#N/A</v>
      </c>
      <c r="H22" s="118"/>
    </row>
    <row r="23" spans="1:8" ht="18" customHeight="1" x14ac:dyDescent="0.2">
      <c r="A23" s="306"/>
      <c r="B23" s="119" t="str">
        <f>IF(A23="","",VLOOKUP(A23,'Tantárgyi törzsadatok'!$A$16:$I$45,2))</f>
        <v/>
      </c>
      <c r="C23" s="309" t="str">
        <f>IF(A23="","",VLOOKUP(A23,'Tantárgyi törzsadatok'!$A$16:$I$45,5))</f>
        <v/>
      </c>
      <c r="D23" s="409" t="str">
        <f>IF(A23="","",VLOOKUP(A23,'Tantárgyi törzsadatok'!$A$16:$I$45,7))</f>
        <v/>
      </c>
      <c r="E23" s="409"/>
      <c r="F23" s="303" t="str">
        <f>IF(A23="","",VLOOKUP(A23,'Tantárgyi törzsadatok'!$A$16:$I$45,9))</f>
        <v/>
      </c>
      <c r="G23" s="117" t="e">
        <f>VLOOKUP(A23,'Tantárgyi törzsadatok'!$A$16:$J$45,8)</f>
        <v>#N/A</v>
      </c>
      <c r="H23" s="118"/>
    </row>
    <row r="24" spans="1:8" ht="18" customHeight="1" x14ac:dyDescent="0.2">
      <c r="A24" s="306"/>
      <c r="B24" s="119" t="str">
        <f>IF(A24="","",VLOOKUP(A24,'Tantárgyi törzsadatok'!$A$16:$I$45,2))</f>
        <v/>
      </c>
      <c r="C24" s="309" t="str">
        <f>IF(A24="","",VLOOKUP(A24,'Tantárgyi törzsadatok'!$A$16:$I$45,5))</f>
        <v/>
      </c>
      <c r="D24" s="409" t="str">
        <f>IF(A24="","",VLOOKUP(A24,'Tantárgyi törzsadatok'!$A$16:$I$45,7))</f>
        <v/>
      </c>
      <c r="E24" s="409"/>
      <c r="F24" s="303" t="str">
        <f>IF(A24="","",VLOOKUP(A24,'Tantárgyi törzsadatok'!$A$16:$I$45,9))</f>
        <v/>
      </c>
      <c r="G24" s="117" t="e">
        <f>VLOOKUP(A24,'Tantárgyi törzsadatok'!$A$16:$J$45,8)</f>
        <v>#N/A</v>
      </c>
      <c r="H24" s="118"/>
    </row>
    <row r="25" spans="1:8" ht="18" customHeight="1" x14ac:dyDescent="0.2">
      <c r="A25" s="306"/>
      <c r="B25" s="119" t="str">
        <f>IF(A25="","",VLOOKUP(A25,'Tantárgyi törzsadatok'!$A$16:$I$45,2))</f>
        <v/>
      </c>
      <c r="C25" s="309" t="str">
        <f>IF(A25="","",VLOOKUP(A25,'Tantárgyi törzsadatok'!$A$16:$I$45,5))</f>
        <v/>
      </c>
      <c r="D25" s="409" t="str">
        <f>IF(A25="","",VLOOKUP(A25,'Tantárgyi törzsadatok'!$A$16:$I$45,7))</f>
        <v/>
      </c>
      <c r="E25" s="409"/>
      <c r="F25" s="303" t="str">
        <f>IF(A25="","",VLOOKUP(A25,'Tantárgyi törzsadatok'!$A$16:$I$45,9))</f>
        <v/>
      </c>
      <c r="G25" s="117" t="e">
        <f>VLOOKUP(A25,'Tantárgyi törzsadatok'!$A$16:$J$45,8)</f>
        <v>#N/A</v>
      </c>
      <c r="H25" s="118"/>
    </row>
    <row r="26" spans="1:8" ht="18" customHeight="1" x14ac:dyDescent="0.2">
      <c r="A26" s="306"/>
      <c r="B26" s="119" t="str">
        <f>IF(A26="","",VLOOKUP(A26,'Tantárgyi törzsadatok'!$A$16:$I$45,2))</f>
        <v/>
      </c>
      <c r="C26" s="309" t="str">
        <f>IF(A26="","",VLOOKUP(A26,'Tantárgyi törzsadatok'!$A$16:$I$45,5))</f>
        <v/>
      </c>
      <c r="D26" s="409" t="str">
        <f>IF(A26="","",VLOOKUP(A26,'Tantárgyi törzsadatok'!$A$16:$I$45,7))</f>
        <v/>
      </c>
      <c r="E26" s="409"/>
      <c r="F26" s="303" t="str">
        <f>IF(A26="","",VLOOKUP(A26,'Tantárgyi törzsadatok'!$A$16:$I$45,9))</f>
        <v/>
      </c>
      <c r="G26" s="117" t="e">
        <f>VLOOKUP(A26,'Tantárgyi törzsadatok'!$A$16:$J$45,8)</f>
        <v>#N/A</v>
      </c>
      <c r="H26" s="118"/>
    </row>
    <row r="27" spans="1:8" ht="18" customHeight="1" x14ac:dyDescent="0.2">
      <c r="A27" s="306"/>
      <c r="B27" s="119" t="str">
        <f>IF(A27="","",VLOOKUP(A27,'Tantárgyi törzsadatok'!$A$16:$I$45,2))</f>
        <v/>
      </c>
      <c r="C27" s="309" t="str">
        <f>IF(A27="","",VLOOKUP(A27,'Tantárgyi törzsadatok'!$A$16:$I$45,5))</f>
        <v/>
      </c>
      <c r="D27" s="409" t="str">
        <f>IF(A27="","",VLOOKUP(A27,'Tantárgyi törzsadatok'!$A$16:$I$45,7))</f>
        <v/>
      </c>
      <c r="E27" s="409"/>
      <c r="F27" s="303" t="str">
        <f>IF(A27="","",VLOOKUP(A27,'Tantárgyi törzsadatok'!$A$16:$I$45,9))</f>
        <v/>
      </c>
      <c r="G27" s="117" t="e">
        <f>VLOOKUP(A27,'Tantárgyi törzsadatok'!$A$16:$J$45,8)</f>
        <v>#N/A</v>
      </c>
      <c r="H27" s="118"/>
    </row>
    <row r="28" spans="1:8" ht="18" customHeight="1" x14ac:dyDescent="0.2">
      <c r="A28" s="306"/>
      <c r="B28" s="119" t="str">
        <f>IF(A28="","",VLOOKUP(A28,'Tantárgyi törzsadatok'!$A$16:$I$45,2))</f>
        <v/>
      </c>
      <c r="C28" s="309" t="str">
        <f>IF(A28="","",VLOOKUP(A28,'Tantárgyi törzsadatok'!$A$16:$I$45,5))</f>
        <v/>
      </c>
      <c r="D28" s="409" t="str">
        <f>IF(A28="","",VLOOKUP(A28,'Tantárgyi törzsadatok'!$A$16:$I$45,7))</f>
        <v/>
      </c>
      <c r="E28" s="409"/>
      <c r="F28" s="303" t="str">
        <f>IF(A28="","",VLOOKUP(A28,'Tantárgyi törzsadatok'!$A$16:$I$45,9))</f>
        <v/>
      </c>
      <c r="G28" s="117" t="e">
        <f>VLOOKUP(A28,'Tantárgyi törzsadatok'!$A$16:$J$45,8)</f>
        <v>#N/A</v>
      </c>
      <c r="H28" s="118"/>
    </row>
    <row r="29" spans="1:8" ht="18" customHeight="1" x14ac:dyDescent="0.2">
      <c r="A29" s="306"/>
      <c r="B29" s="119" t="str">
        <f>IF(A29="","",VLOOKUP(A29,'Tantárgyi törzsadatok'!$A$16:$I$45,2))</f>
        <v/>
      </c>
      <c r="C29" s="309" t="str">
        <f>IF(A29="","",VLOOKUP(A29,'Tantárgyi törzsadatok'!$A$16:$I$45,5))</f>
        <v/>
      </c>
      <c r="D29" s="409" t="str">
        <f>IF(A29="","",VLOOKUP(A29,'Tantárgyi törzsadatok'!$A$16:$I$45,7))</f>
        <v/>
      </c>
      <c r="E29" s="409"/>
      <c r="F29" s="303" t="str">
        <f>IF(A29="","",VLOOKUP(A29,'Tantárgyi törzsadatok'!$A$16:$I$45,9))</f>
        <v/>
      </c>
      <c r="G29" s="117" t="e">
        <f>VLOOKUP(A29,'Tantárgyi törzsadatok'!$A$16:$J$45,8)</f>
        <v>#N/A</v>
      </c>
      <c r="H29" s="118"/>
    </row>
    <row r="30" spans="1:8" ht="18" customHeight="1" x14ac:dyDescent="0.2">
      <c r="A30" s="306"/>
      <c r="B30" s="119" t="str">
        <f>IF(A30="","",VLOOKUP(A30,'Tantárgyi törzsadatok'!$A$16:$I$45,2))</f>
        <v/>
      </c>
      <c r="C30" s="309" t="str">
        <f>IF(A30="","",VLOOKUP(A30,'Tantárgyi törzsadatok'!$A$16:$I$45,5))</f>
        <v/>
      </c>
      <c r="D30" s="409" t="str">
        <f>IF(A30="","",VLOOKUP(A30,'Tantárgyi törzsadatok'!$A$16:$I$45,7))</f>
        <v/>
      </c>
      <c r="E30" s="409"/>
      <c r="F30" s="303" t="str">
        <f>IF(A30="","",VLOOKUP(A30,'Tantárgyi törzsadatok'!$A$16:$I$45,9))</f>
        <v/>
      </c>
      <c r="G30" s="117" t="e">
        <f>VLOOKUP(A30,'Tantárgyi törzsadatok'!$A$16:$J$45,8)</f>
        <v>#N/A</v>
      </c>
      <c r="H30" s="118"/>
    </row>
    <row r="31" spans="1:8" ht="18" customHeight="1" x14ac:dyDescent="0.2">
      <c r="A31" s="306"/>
      <c r="B31" s="119" t="str">
        <f>IF(A31="","",VLOOKUP(A31,'Tantárgyi törzsadatok'!$A$16:$I$45,2))</f>
        <v/>
      </c>
      <c r="C31" s="309" t="str">
        <f>IF(A31="","",VLOOKUP(A31,'Tantárgyi törzsadatok'!$A$16:$I$45,5))</f>
        <v/>
      </c>
      <c r="D31" s="409" t="str">
        <f>IF(A31="","",VLOOKUP(A31,'Tantárgyi törzsadatok'!$A$16:$I$45,7))</f>
        <v/>
      </c>
      <c r="E31" s="409"/>
      <c r="F31" s="303" t="str">
        <f>IF(A31="","",VLOOKUP(A31,'Tantárgyi törzsadatok'!$A$16:$I$45,9))</f>
        <v/>
      </c>
      <c r="G31" s="117" t="e">
        <f>VLOOKUP(A31,'Tantárgyi törzsadatok'!$A$16:$J$45,8)</f>
        <v>#N/A</v>
      </c>
      <c r="H31" s="118"/>
    </row>
    <row r="32" spans="1:8" ht="18" customHeight="1" x14ac:dyDescent="0.2">
      <c r="A32" s="306"/>
      <c r="B32" s="119" t="str">
        <f>IF(A32="","",VLOOKUP(A32,'Tantárgyi törzsadatok'!$A$16:$I$45,2))</f>
        <v/>
      </c>
      <c r="C32" s="309" t="str">
        <f>IF(A32="","",VLOOKUP(A32,'Tantárgyi törzsadatok'!$A$16:$I$45,5))</f>
        <v/>
      </c>
      <c r="D32" s="409" t="str">
        <f>IF(A32="","",VLOOKUP(A32,'Tantárgyi törzsadatok'!$A$16:$I$45,7))</f>
        <v/>
      </c>
      <c r="E32" s="409"/>
      <c r="F32" s="303" t="str">
        <f>IF(A32="","",VLOOKUP(A32,'Tantárgyi törzsadatok'!$A$16:$I$45,9))</f>
        <v/>
      </c>
      <c r="G32" s="117" t="e">
        <f>VLOOKUP(A32,'Tantárgyi törzsadatok'!$A$16:$J$45,8)</f>
        <v>#N/A</v>
      </c>
      <c r="H32" s="118"/>
    </row>
    <row r="33" spans="1:8" ht="18" customHeight="1" x14ac:dyDescent="0.2">
      <c r="A33" s="306"/>
      <c r="B33" s="119" t="str">
        <f>IF(A33="","",VLOOKUP(A33,'Tantárgyi törzsadatok'!$A$16:$I$45,2))</f>
        <v/>
      </c>
      <c r="C33" s="309" t="str">
        <f>IF(A33="","",VLOOKUP(A33,'Tantárgyi törzsadatok'!$A$16:$I$45,5))</f>
        <v/>
      </c>
      <c r="D33" s="409" t="str">
        <f>IF(A33="","",VLOOKUP(A33,'Tantárgyi törzsadatok'!$A$16:$I$45,7))</f>
        <v/>
      </c>
      <c r="E33" s="409"/>
      <c r="F33" s="303" t="str">
        <f>IF(A33="","",VLOOKUP(A33,'Tantárgyi törzsadatok'!$A$16:$I$45,9))</f>
        <v/>
      </c>
      <c r="G33" s="117" t="e">
        <f>VLOOKUP(A33,'Tantárgyi törzsadatok'!$A$16:$J$45,8)</f>
        <v>#N/A</v>
      </c>
      <c r="H33" s="118"/>
    </row>
    <row r="34" spans="1:8" ht="18" customHeight="1" x14ac:dyDescent="0.2">
      <c r="A34" s="306"/>
      <c r="B34" s="119" t="str">
        <f>IF(A34="","",VLOOKUP(A34,'Tantárgyi törzsadatok'!$A$16:$I$45,2))</f>
        <v/>
      </c>
      <c r="C34" s="309" t="str">
        <f>IF(A34="","",VLOOKUP(A34,'Tantárgyi törzsadatok'!$A$16:$I$45,5))</f>
        <v/>
      </c>
      <c r="D34" s="409" t="str">
        <f>IF(A34="","",VLOOKUP(A34,'Tantárgyi törzsadatok'!$A$16:$I$45,7))</f>
        <v/>
      </c>
      <c r="E34" s="409"/>
      <c r="F34" s="303" t="str">
        <f>IF(A34="","",VLOOKUP(A34,'Tantárgyi törzsadatok'!$A$16:$I$45,9))</f>
        <v/>
      </c>
      <c r="G34" s="117" t="e">
        <f>VLOOKUP(A34,'Tantárgyi törzsadatok'!$A$16:$J$45,8)</f>
        <v>#N/A</v>
      </c>
      <c r="H34" s="118"/>
    </row>
    <row r="35" spans="1:8" ht="18" customHeight="1" x14ac:dyDescent="0.2">
      <c r="A35" s="306"/>
      <c r="B35" s="119" t="str">
        <f>IF(A35="","",VLOOKUP(A35,'Tantárgyi törzsadatok'!$A$16:$I$45,2))</f>
        <v/>
      </c>
      <c r="C35" s="309" t="str">
        <f>IF(A35="","",VLOOKUP(A35,'Tantárgyi törzsadatok'!$A$16:$I$45,5))</f>
        <v/>
      </c>
      <c r="D35" s="409" t="str">
        <f>IF(A35="","",VLOOKUP(A35,'Tantárgyi törzsadatok'!$A$16:$I$45,7))</f>
        <v/>
      </c>
      <c r="E35" s="409"/>
      <c r="F35" s="303" t="str">
        <f>IF(A35="","",VLOOKUP(A35,'Tantárgyi törzsadatok'!$A$16:$I$45,9))</f>
        <v/>
      </c>
      <c r="G35" s="117" t="e">
        <f>VLOOKUP(A35,'Tantárgyi törzsadatok'!$A$16:$J$45,8)</f>
        <v>#N/A</v>
      </c>
      <c r="H35" s="118"/>
    </row>
    <row r="36" spans="1:8" ht="18" customHeight="1" x14ac:dyDescent="0.2">
      <c r="A36" s="306"/>
      <c r="B36" s="119" t="str">
        <f>IF(A36="","",VLOOKUP(A36,'Tantárgyi törzsadatok'!$A$16:$I$45,2))</f>
        <v/>
      </c>
      <c r="C36" s="309" t="str">
        <f>IF(A36="","",VLOOKUP(A36,'Tantárgyi törzsadatok'!$A$16:$I$45,5))</f>
        <v/>
      </c>
      <c r="D36" s="409" t="str">
        <f>IF(A36="","",VLOOKUP(A36,'Tantárgyi törzsadatok'!$A$16:$I$45,7))</f>
        <v/>
      </c>
      <c r="E36" s="409"/>
      <c r="F36" s="303" t="str">
        <f>IF(A36="","",VLOOKUP(A36,'Tantárgyi törzsadatok'!$A$16:$I$45,9))</f>
        <v/>
      </c>
      <c r="G36" s="117" t="e">
        <f>VLOOKUP(A36,'Tantárgyi törzsadatok'!$A$16:$J$45,8)</f>
        <v>#N/A</v>
      </c>
      <c r="H36" s="118"/>
    </row>
    <row r="37" spans="1:8" ht="18" customHeight="1" x14ac:dyDescent="0.2">
      <c r="A37" s="306"/>
      <c r="B37" s="119" t="str">
        <f>IF(A37="","",VLOOKUP(A37,'Tantárgyi törzsadatok'!$A$16:$I$45,2))</f>
        <v/>
      </c>
      <c r="C37" s="309" t="str">
        <f>IF(A37="","",VLOOKUP(A37,'Tantárgyi törzsadatok'!$A$16:$I$45,5))</f>
        <v/>
      </c>
      <c r="D37" s="409" t="str">
        <f>IF(A37="","",VLOOKUP(A37,'Tantárgyi törzsadatok'!$A$16:$I$45,7))</f>
        <v/>
      </c>
      <c r="E37" s="409"/>
      <c r="F37" s="303" t="str">
        <f>IF(A37="","",VLOOKUP(A37,'Tantárgyi törzsadatok'!$A$16:$I$45,9))</f>
        <v/>
      </c>
      <c r="G37" s="117" t="e">
        <f>VLOOKUP(A37,'Tantárgyi törzsadatok'!$A$16:$J$45,8)</f>
        <v>#N/A</v>
      </c>
      <c r="H37" s="118"/>
    </row>
    <row r="38" spans="1:8" ht="18" customHeight="1" thickBot="1" x14ac:dyDescent="0.25">
      <c r="A38" s="307"/>
      <c r="B38" s="120" t="str">
        <f>IF(A38="","",VLOOKUP(A38,'Tantárgyi törzsadatok'!$A$16:$I$45,2))</f>
        <v/>
      </c>
      <c r="C38" s="310" t="str">
        <f>IF(A38="","",VLOOKUP(A38,'Tantárgyi törzsadatok'!$A$16:$I$45,5))</f>
        <v/>
      </c>
      <c r="D38" s="410" t="str">
        <f>IF(A38="","",VLOOKUP(A38,'Tantárgyi törzsadatok'!$A$16:$I$45,7))</f>
        <v/>
      </c>
      <c r="E38" s="410"/>
      <c r="F38" s="304" t="str">
        <f>IF(A38="","",VLOOKUP(A38,'Tantárgyi törzsadatok'!$A$16:$I$45,9))</f>
        <v/>
      </c>
      <c r="G38" s="117" t="e">
        <f>VLOOKUP(A38,'Tantárgyi törzsadatok'!$A$16:$J$45,8)</f>
        <v>#N/A</v>
      </c>
      <c r="H38" s="118"/>
    </row>
    <row r="39" spans="1:8" x14ac:dyDescent="0.2">
      <c r="B39" s="121"/>
    </row>
    <row r="41" spans="1:8" ht="15.75" x14ac:dyDescent="0.25">
      <c r="B41" s="93" t="s">
        <v>101</v>
      </c>
    </row>
    <row r="43" spans="1:8" ht="15.75" x14ac:dyDescent="0.25">
      <c r="A43" s="93" t="s">
        <v>32</v>
      </c>
      <c r="B43" s="270"/>
    </row>
    <row r="47" spans="1:8" ht="15.75" x14ac:dyDescent="0.25">
      <c r="B47" s="122">
        <f>C12</f>
        <v>0</v>
      </c>
      <c r="E47" s="123">
        <f>C14</f>
        <v>0</v>
      </c>
      <c r="G47" s="124"/>
    </row>
    <row r="48" spans="1:8" x14ac:dyDescent="0.2">
      <c r="B48" s="125" t="s">
        <v>66</v>
      </c>
      <c r="E48" s="125" t="s">
        <v>56</v>
      </c>
    </row>
    <row r="49" spans="1:6" ht="15.75" thickBot="1" x14ac:dyDescent="0.25"/>
    <row r="50" spans="1:6" ht="45.75" customHeight="1" x14ac:dyDescent="0.2">
      <c r="B50" s="418" t="s">
        <v>161</v>
      </c>
      <c r="C50" s="419"/>
      <c r="D50" s="419"/>
      <c r="E50" s="419"/>
      <c r="F50" s="420"/>
    </row>
    <row r="51" spans="1:6" ht="21" customHeight="1" x14ac:dyDescent="0.25">
      <c r="B51" s="126" t="s">
        <v>51</v>
      </c>
      <c r="C51" s="127" t="str">
        <f>IF(A6="","",E6+5)</f>
        <v/>
      </c>
      <c r="D51" s="128"/>
      <c r="E51" s="128"/>
      <c r="F51" s="129"/>
    </row>
    <row r="52" spans="1:6" ht="32.25" customHeight="1" thickBot="1" x14ac:dyDescent="0.3">
      <c r="B52" s="421" t="s">
        <v>100</v>
      </c>
      <c r="C52" s="422"/>
      <c r="D52" s="422"/>
      <c r="E52" s="422"/>
      <c r="F52" s="423"/>
    </row>
    <row r="53" spans="1:6" ht="9" customHeight="1" thickBot="1" x14ac:dyDescent="0.25"/>
    <row r="54" spans="1:6" x14ac:dyDescent="0.2">
      <c r="A54" s="107"/>
      <c r="B54" s="130" t="s">
        <v>160</v>
      </c>
      <c r="C54" s="131"/>
      <c r="D54" s="132"/>
      <c r="E54" s="132"/>
      <c r="F54" s="133"/>
    </row>
    <row r="55" spans="1:6" ht="9" customHeight="1" x14ac:dyDescent="0.2">
      <c r="A55" s="107"/>
      <c r="B55" s="134"/>
      <c r="C55" s="135"/>
      <c r="D55" s="136"/>
      <c r="E55" s="136"/>
      <c r="F55" s="137"/>
    </row>
    <row r="56" spans="1:6" ht="15" customHeight="1" x14ac:dyDescent="0.2">
      <c r="A56" s="107"/>
      <c r="B56" s="138" t="s">
        <v>52</v>
      </c>
      <c r="C56" s="139" t="s">
        <v>104</v>
      </c>
      <c r="D56" s="140"/>
      <c r="E56" s="141" t="s">
        <v>3</v>
      </c>
      <c r="F56" s="171" t="s">
        <v>105</v>
      </c>
    </row>
    <row r="57" spans="1:6" x14ac:dyDescent="0.2">
      <c r="A57" s="142"/>
      <c r="B57" s="143"/>
      <c r="C57" s="144" t="s">
        <v>55</v>
      </c>
      <c r="D57" s="145"/>
      <c r="E57" s="146"/>
      <c r="F57" s="137"/>
    </row>
    <row r="58" spans="1:6" ht="9" customHeight="1" x14ac:dyDescent="0.2">
      <c r="A58" s="147"/>
      <c r="B58" s="148"/>
      <c r="C58" s="149"/>
      <c r="D58" s="136"/>
      <c r="E58" s="136"/>
      <c r="F58" s="137"/>
    </row>
    <row r="59" spans="1:6" ht="23.25" customHeight="1" thickBot="1" x14ac:dyDescent="0.25">
      <c r="A59" s="147"/>
      <c r="B59" s="150" t="s">
        <v>53</v>
      </c>
      <c r="C59" s="151"/>
      <c r="D59" s="152"/>
      <c r="E59" s="153" t="s">
        <v>54</v>
      </c>
      <c r="F59" s="154"/>
    </row>
  </sheetData>
  <sheetProtection algorithmName="SHA-512" hashValue="Gp4158XTn6Bi9qMxxm5XzB8CcrSBNswvmnQbRnfhvDqFdvT5n+zn9V78rrEK/neZTIq1gYPXhU/zDLSiWc57hQ==" saltValue="qJcuuGo+tSRrzvQWGJbuKw==" spinCount="100000" sheet="1" formatCells="0" selectLockedCells="1"/>
  <mergeCells count="34">
    <mergeCell ref="H1:I1"/>
    <mergeCell ref="B3:F3"/>
    <mergeCell ref="B50:F50"/>
    <mergeCell ref="B52:F52"/>
    <mergeCell ref="B2:F2"/>
    <mergeCell ref="B4:F4"/>
    <mergeCell ref="D20:E20"/>
    <mergeCell ref="D21:E21"/>
    <mergeCell ref="D22:E22"/>
    <mergeCell ref="D28:E28"/>
    <mergeCell ref="D29:E29"/>
    <mergeCell ref="C13:F13"/>
    <mergeCell ref="C14:F14"/>
    <mergeCell ref="D18:E18"/>
    <mergeCell ref="D19:E19"/>
    <mergeCell ref="C9:E9"/>
    <mergeCell ref="C10:F10"/>
    <mergeCell ref="C11:E11"/>
    <mergeCell ref="C12:F12"/>
    <mergeCell ref="A1:B1"/>
    <mergeCell ref="D31:E31"/>
    <mergeCell ref="D32:E32"/>
    <mergeCell ref="D27:E27"/>
    <mergeCell ref="D23:E23"/>
    <mergeCell ref="D24:E24"/>
    <mergeCell ref="D25:E25"/>
    <mergeCell ref="D30:E30"/>
    <mergeCell ref="D26:E26"/>
    <mergeCell ref="D33:E33"/>
    <mergeCell ref="D38:E38"/>
    <mergeCell ref="D34:E34"/>
    <mergeCell ref="D35:E35"/>
    <mergeCell ref="D36:E36"/>
    <mergeCell ref="D37:E37"/>
  </mergeCells>
  <phoneticPr fontId="2" type="noConversion"/>
  <printOptions horizontalCentered="1"/>
  <pageMargins left="0.47244094488188981" right="0.47244094488188981" top="0.59055118110236227" bottom="0.62992125984251968" header="0.31496062992125984" footer="0.31496062992125984"/>
  <pageSetup paperSize="9" scale="73" orientation="portrait" r:id="rId1"/>
  <headerFooter alignWithMargins="0">
    <oddFooter>&amp;R&amp;10&amp;F/&amp;A/PP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1">
    <tabColor indexed="52"/>
    <pageSetUpPr fitToPage="1"/>
  </sheetPr>
  <dimension ref="A1:I43"/>
  <sheetViews>
    <sheetView showGridLines="0" view="pageBreakPreview" zoomScale="150" zoomScaleNormal="100" zoomScaleSheetLayoutView="150" workbookViewId="0">
      <selection sqref="A1:B1"/>
    </sheetView>
  </sheetViews>
  <sheetFormatPr defaultRowHeight="15" x14ac:dyDescent="0.2"/>
  <cols>
    <col min="1" max="1" width="2.5546875" style="155" customWidth="1"/>
    <col min="9" max="9" width="12.77734375" customWidth="1"/>
  </cols>
  <sheetData>
    <row r="1" spans="1:9" s="105" customFormat="1" ht="18" customHeight="1" x14ac:dyDescent="0.2">
      <c r="A1" s="431" t="str">
        <f>'Díjak és etapok'!C5</f>
        <v>PTE ÁOK</v>
      </c>
      <c r="B1" s="431"/>
      <c r="H1" s="432">
        <f>'Díjak és etapok'!C6</f>
        <v>2025</v>
      </c>
      <c r="I1" s="433"/>
    </row>
    <row r="2" spans="1:9" ht="18" x14ac:dyDescent="0.2">
      <c r="B2" s="402" t="s">
        <v>57</v>
      </c>
      <c r="C2" s="402"/>
      <c r="D2" s="402"/>
      <c r="E2" s="402"/>
      <c r="F2" s="402"/>
      <c r="G2" s="402"/>
      <c r="H2" s="440"/>
      <c r="I2" s="440"/>
    </row>
    <row r="3" spans="1:9" ht="15.75" x14ac:dyDescent="0.2">
      <c r="B3" s="441" t="s">
        <v>124</v>
      </c>
      <c r="C3" s="441"/>
      <c r="D3" s="441"/>
      <c r="E3" s="441"/>
      <c r="F3" s="441"/>
      <c r="G3" s="441"/>
      <c r="H3" s="442"/>
      <c r="I3" s="442"/>
    </row>
    <row r="4" spans="1:9" s="81" customFormat="1" ht="13.5" customHeight="1" x14ac:dyDescent="0.2">
      <c r="A4" s="155"/>
      <c r="B4" s="443"/>
      <c r="C4" s="443"/>
      <c r="D4" s="443"/>
      <c r="E4" s="443"/>
      <c r="F4" s="443"/>
      <c r="G4" s="443"/>
      <c r="H4" s="443"/>
      <c r="I4" s="443"/>
    </row>
    <row r="5" spans="1:9" s="81" customFormat="1" ht="50.25" customHeight="1" x14ac:dyDescent="0.2">
      <c r="A5" s="156" t="s">
        <v>29</v>
      </c>
      <c r="B5" s="428" t="s">
        <v>154</v>
      </c>
      <c r="C5" s="429"/>
      <c r="D5" s="429"/>
      <c r="E5" s="429"/>
      <c r="F5" s="429"/>
      <c r="G5" s="429"/>
      <c r="H5" s="429"/>
      <c r="I5" s="429"/>
    </row>
    <row r="6" spans="1:9" s="81" customFormat="1" ht="58.5" customHeight="1" x14ac:dyDescent="0.2">
      <c r="A6" s="156" t="s">
        <v>30</v>
      </c>
      <c r="B6" s="428" t="s">
        <v>125</v>
      </c>
      <c r="C6" s="429"/>
      <c r="D6" s="429"/>
      <c r="E6" s="429"/>
      <c r="F6" s="429"/>
      <c r="G6" s="429"/>
      <c r="H6" s="429"/>
      <c r="I6" s="429"/>
    </row>
    <row r="7" spans="1:9" s="81" customFormat="1" ht="44.25" customHeight="1" x14ac:dyDescent="0.2">
      <c r="A7" s="156" t="s">
        <v>31</v>
      </c>
      <c r="B7" s="428" t="s">
        <v>126</v>
      </c>
      <c r="C7" s="429"/>
      <c r="D7" s="429"/>
      <c r="E7" s="429"/>
      <c r="F7" s="429"/>
      <c r="G7" s="429"/>
      <c r="H7" s="429"/>
      <c r="I7" s="429"/>
    </row>
    <row r="8" spans="1:9" s="81" customFormat="1" ht="31.5" customHeight="1" x14ac:dyDescent="0.2">
      <c r="A8" s="156" t="s">
        <v>36</v>
      </c>
      <c r="B8" s="428" t="s">
        <v>127</v>
      </c>
      <c r="C8" s="429"/>
      <c r="D8" s="429"/>
      <c r="E8" s="429"/>
      <c r="F8" s="429"/>
      <c r="G8" s="429"/>
      <c r="H8" s="429"/>
      <c r="I8" s="429"/>
    </row>
    <row r="9" spans="1:9" s="81" customFormat="1" ht="81" customHeight="1" x14ac:dyDescent="0.2">
      <c r="A9" s="156" t="s">
        <v>37</v>
      </c>
      <c r="B9" s="428" t="s">
        <v>128</v>
      </c>
      <c r="C9" s="429"/>
      <c r="D9" s="429"/>
      <c r="E9" s="429"/>
      <c r="F9" s="429"/>
      <c r="G9" s="429"/>
      <c r="H9" s="429"/>
      <c r="I9" s="429"/>
    </row>
    <row r="10" spans="1:9" s="81" customFormat="1" ht="85.9" customHeight="1" x14ac:dyDescent="0.2">
      <c r="A10" s="156" t="s">
        <v>38</v>
      </c>
      <c r="B10" s="438" t="s">
        <v>129</v>
      </c>
      <c r="C10" s="439"/>
      <c r="D10" s="439"/>
      <c r="E10" s="439"/>
      <c r="F10" s="439"/>
      <c r="G10" s="439"/>
      <c r="H10" s="439"/>
      <c r="I10" s="439"/>
    </row>
    <row r="11" spans="1:9" s="81" customFormat="1" ht="74.25" customHeight="1" x14ac:dyDescent="0.2">
      <c r="A11" s="164" t="s">
        <v>41</v>
      </c>
      <c r="B11" s="438" t="s">
        <v>130</v>
      </c>
      <c r="C11" s="439"/>
      <c r="D11" s="439"/>
      <c r="E11" s="439"/>
      <c r="F11" s="439"/>
      <c r="G11" s="439"/>
      <c r="H11" s="439"/>
      <c r="I11" s="439"/>
    </row>
    <row r="12" spans="1:9" s="81" customFormat="1" ht="42" customHeight="1" x14ac:dyDescent="0.2">
      <c r="A12" s="164" t="s">
        <v>46</v>
      </c>
      <c r="B12" s="428" t="s">
        <v>131</v>
      </c>
      <c r="C12" s="429"/>
      <c r="D12" s="429"/>
      <c r="E12" s="429"/>
      <c r="F12" s="429"/>
      <c r="G12" s="429"/>
      <c r="H12" s="429"/>
      <c r="I12" s="429"/>
    </row>
    <row r="13" spans="1:9" s="81" customFormat="1" ht="33" customHeight="1" x14ac:dyDescent="0.2">
      <c r="A13" s="164" t="s">
        <v>42</v>
      </c>
      <c r="B13" s="428" t="s">
        <v>148</v>
      </c>
      <c r="C13" s="429"/>
      <c r="D13" s="429"/>
      <c r="E13" s="429"/>
      <c r="F13" s="429"/>
      <c r="G13" s="429"/>
      <c r="H13" s="429"/>
      <c r="I13" s="429"/>
    </row>
    <row r="14" spans="1:9" s="81" customFormat="1" ht="15.75" customHeight="1" x14ac:dyDescent="0.2">
      <c r="A14" s="430" t="s">
        <v>166</v>
      </c>
      <c r="B14" s="430"/>
      <c r="C14" s="430"/>
      <c r="D14" s="170"/>
      <c r="E14" s="170"/>
      <c r="F14" s="170"/>
      <c r="G14" s="170"/>
      <c r="H14" s="170"/>
      <c r="I14" s="170"/>
    </row>
    <row r="15" spans="1:9" s="81" customFormat="1" ht="12" customHeight="1" x14ac:dyDescent="0.2">
      <c r="A15" s="430"/>
      <c r="B15" s="430"/>
      <c r="C15" s="430"/>
      <c r="D15" s="170"/>
      <c r="E15" s="434" t="s">
        <v>106</v>
      </c>
      <c r="F15" s="434"/>
      <c r="G15" s="435" t="str">
        <f>A1</f>
        <v>PTE ÁOK</v>
      </c>
      <c r="H15" s="435"/>
      <c r="I15" s="170"/>
    </row>
    <row r="16" spans="1:9" s="81" customFormat="1" ht="36.75" customHeight="1" x14ac:dyDescent="0.2">
      <c r="A16" s="430"/>
      <c r="B16" s="430"/>
      <c r="C16" s="430"/>
      <c r="F16" s="436" t="s">
        <v>155</v>
      </c>
      <c r="G16" s="437"/>
    </row>
    <row r="17" spans="1:1" s="81" customFormat="1" ht="14.25" x14ac:dyDescent="0.2">
      <c r="A17" s="155"/>
    </row>
    <row r="18" spans="1:1" s="81" customFormat="1" ht="14.25" x14ac:dyDescent="0.2">
      <c r="A18" s="155"/>
    </row>
    <row r="19" spans="1:1" s="81" customFormat="1" ht="14.25" x14ac:dyDescent="0.2">
      <c r="A19" s="155"/>
    </row>
    <row r="20" spans="1:1" s="81" customFormat="1" ht="14.25" x14ac:dyDescent="0.2">
      <c r="A20" s="155"/>
    </row>
    <row r="21" spans="1:1" s="81" customFormat="1" ht="14.25" x14ac:dyDescent="0.2">
      <c r="A21" s="155"/>
    </row>
    <row r="22" spans="1:1" s="81" customFormat="1" ht="14.25" x14ac:dyDescent="0.2">
      <c r="A22" s="155"/>
    </row>
    <row r="23" spans="1:1" s="81" customFormat="1" ht="14.25" x14ac:dyDescent="0.2">
      <c r="A23" s="155"/>
    </row>
    <row r="24" spans="1:1" s="81" customFormat="1" ht="14.25" x14ac:dyDescent="0.2">
      <c r="A24" s="155"/>
    </row>
    <row r="25" spans="1:1" s="81" customFormat="1" ht="14.25" x14ac:dyDescent="0.2">
      <c r="A25" s="155"/>
    </row>
    <row r="26" spans="1:1" s="81" customFormat="1" ht="14.25" x14ac:dyDescent="0.2">
      <c r="A26" s="155"/>
    </row>
    <row r="27" spans="1:1" s="81" customFormat="1" ht="14.25" x14ac:dyDescent="0.2">
      <c r="A27" s="155"/>
    </row>
    <row r="28" spans="1:1" s="81" customFormat="1" ht="14.25" x14ac:dyDescent="0.2">
      <c r="A28" s="155"/>
    </row>
    <row r="29" spans="1:1" s="81" customFormat="1" ht="14.25" x14ac:dyDescent="0.2">
      <c r="A29" s="155"/>
    </row>
    <row r="30" spans="1:1" s="81" customFormat="1" ht="14.25" x14ac:dyDescent="0.2">
      <c r="A30" s="155"/>
    </row>
    <row r="31" spans="1:1" s="81" customFormat="1" ht="14.25" x14ac:dyDescent="0.2">
      <c r="A31" s="155"/>
    </row>
    <row r="32" spans="1:1" s="81" customFormat="1" ht="14.25" x14ac:dyDescent="0.2">
      <c r="A32" s="155"/>
    </row>
    <row r="33" spans="1:1" s="81" customFormat="1" ht="14.25" x14ac:dyDescent="0.2">
      <c r="A33" s="155"/>
    </row>
    <row r="34" spans="1:1" s="81" customFormat="1" ht="14.25" x14ac:dyDescent="0.2">
      <c r="A34" s="155"/>
    </row>
    <row r="35" spans="1:1" s="81" customFormat="1" ht="14.25" x14ac:dyDescent="0.2">
      <c r="A35" s="155"/>
    </row>
    <row r="36" spans="1:1" s="81" customFormat="1" ht="14.25" x14ac:dyDescent="0.2">
      <c r="A36" s="155"/>
    </row>
    <row r="37" spans="1:1" s="81" customFormat="1" ht="14.25" x14ac:dyDescent="0.2">
      <c r="A37" s="155"/>
    </row>
    <row r="38" spans="1:1" s="81" customFormat="1" ht="14.25" x14ac:dyDescent="0.2">
      <c r="A38" s="155"/>
    </row>
    <row r="39" spans="1:1" s="81" customFormat="1" ht="14.25" x14ac:dyDescent="0.2">
      <c r="A39" s="155"/>
    </row>
    <row r="40" spans="1:1" s="81" customFormat="1" ht="14.25" x14ac:dyDescent="0.2">
      <c r="A40" s="155"/>
    </row>
    <row r="41" spans="1:1" s="81" customFormat="1" ht="14.25" x14ac:dyDescent="0.2">
      <c r="A41" s="155"/>
    </row>
    <row r="42" spans="1:1" s="81" customFormat="1" ht="14.25" x14ac:dyDescent="0.2">
      <c r="A42" s="155"/>
    </row>
    <row r="43" spans="1:1" s="81" customFormat="1" ht="14.25" x14ac:dyDescent="0.2">
      <c r="A43" s="155"/>
    </row>
  </sheetData>
  <sheetProtection algorithmName="SHA-512" hashValue="Eow/PYF56xreDSdV8zpPDEElpfIRHMrP9DYvOubcf51aY894ac+4lX81m1xkAtf2P1xlwrhq+NpcmYpEK5+rcw==" saltValue="MH4fljTv/oGlUSDw1xJf+g==" spinCount="100000" sheet="1" formatCells="0" selectLockedCells="1"/>
  <mergeCells count="18">
    <mergeCell ref="B3:I3"/>
    <mergeCell ref="B4:I4"/>
    <mergeCell ref="B7:I7"/>
    <mergeCell ref="B5:I5"/>
    <mergeCell ref="B6:I6"/>
    <mergeCell ref="A14:C16"/>
    <mergeCell ref="A1:B1"/>
    <mergeCell ref="H1:I1"/>
    <mergeCell ref="E15:F15"/>
    <mergeCell ref="G15:H15"/>
    <mergeCell ref="F16:G16"/>
    <mergeCell ref="B12:I12"/>
    <mergeCell ref="B13:I13"/>
    <mergeCell ref="B9:I9"/>
    <mergeCell ref="B8:I8"/>
    <mergeCell ref="B10:I10"/>
    <mergeCell ref="B11:I11"/>
    <mergeCell ref="B2:I2"/>
  </mergeCells>
  <phoneticPr fontId="2" type="noConversion"/>
  <printOptions horizontalCentered="1"/>
  <pageMargins left="0.59055118110236227" right="0.59055118110236227" top="0.78740157480314965" bottom="0.39370078740157483" header="0.31496062992125984" footer="0.27559055118110237"/>
  <pageSetup paperSize="9" scale="97" orientation="portrait" r:id="rId1"/>
  <headerFooter alignWithMargins="0">
    <oddFooter>&amp;R&amp;"Arial,Dőlt"&amp;8&amp;F/&amp;A/PP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2">
    <tabColor theme="6" tint="-0.249977111117893"/>
    <pageSetUpPr fitToPage="1"/>
  </sheetPr>
  <dimension ref="A1:J49"/>
  <sheetViews>
    <sheetView zoomScaleNormal="100" workbookViewId="0">
      <selection activeCell="A16" sqref="A16"/>
    </sheetView>
  </sheetViews>
  <sheetFormatPr defaultRowHeight="12.75" x14ac:dyDescent="0.2"/>
  <cols>
    <col min="1" max="1" width="3.88671875" style="185" customWidth="1"/>
    <col min="2" max="2" width="25.44140625" style="185" customWidth="1"/>
    <col min="3" max="3" width="9.88671875" style="208" customWidth="1"/>
    <col min="4" max="5" width="10.6640625" style="185" customWidth="1"/>
    <col min="6" max="6" width="10.6640625" style="185" hidden="1" customWidth="1"/>
    <col min="7" max="8" width="12.21875" style="185" customWidth="1"/>
    <col min="9" max="9" width="12.21875" style="185" hidden="1" customWidth="1"/>
    <col min="10" max="10" width="12.21875" style="185" customWidth="1"/>
    <col min="11" max="16384" width="8.88671875" style="185"/>
  </cols>
  <sheetData>
    <row r="1" spans="1:10" ht="24" customHeight="1" x14ac:dyDescent="0.2">
      <c r="A1" s="460" t="str">
        <f>'Díjak és etapok'!C5</f>
        <v>PTE ÁOK</v>
      </c>
      <c r="B1" s="460"/>
      <c r="I1" s="461">
        <f>'Díjak és etapok'!C6</f>
        <v>2025</v>
      </c>
      <c r="J1" s="461"/>
    </row>
    <row r="2" spans="1:10" s="182" customFormat="1" ht="33" customHeight="1" x14ac:dyDescent="0.2">
      <c r="B2" s="467" t="s">
        <v>118</v>
      </c>
      <c r="C2" s="467"/>
      <c r="D2" s="467"/>
      <c r="E2" s="467"/>
      <c r="F2" s="467"/>
      <c r="G2" s="467"/>
      <c r="H2" s="467"/>
      <c r="I2" s="467"/>
      <c r="J2" s="467"/>
    </row>
    <row r="3" spans="1:10" s="182" customFormat="1" ht="9" customHeight="1" x14ac:dyDescent="0.2">
      <c r="B3" s="183"/>
      <c r="C3" s="243"/>
      <c r="D3" s="184"/>
      <c r="E3" s="184"/>
      <c r="F3" s="184"/>
      <c r="G3" s="184"/>
      <c r="H3" s="184"/>
      <c r="I3" s="184"/>
      <c r="J3" s="184"/>
    </row>
    <row r="4" spans="1:10" ht="21" customHeight="1" x14ac:dyDescent="0.2">
      <c r="B4" s="468" t="s">
        <v>74</v>
      </c>
      <c r="C4" s="468"/>
      <c r="D4" s="464" t="str">
        <f>'Díjak és etapok'!B2</f>
        <v>2024/2025. tanév II. félév - tavaszi szemeszter</v>
      </c>
      <c r="E4" s="464"/>
      <c r="F4" s="464"/>
      <c r="G4" s="464"/>
      <c r="H4" s="464"/>
      <c r="I4" s="465" t="s">
        <v>91</v>
      </c>
      <c r="J4" s="465"/>
    </row>
    <row r="5" spans="1:10" ht="9" customHeight="1" x14ac:dyDescent="0.2">
      <c r="B5" s="218"/>
      <c r="C5" s="218"/>
      <c r="D5" s="241"/>
      <c r="E5" s="241"/>
      <c r="F5" s="241"/>
      <c r="G5" s="241"/>
      <c r="H5" s="241"/>
      <c r="I5" s="242"/>
      <c r="J5" s="242"/>
    </row>
    <row r="6" spans="1:10" ht="15" customHeight="1" x14ac:dyDescent="0.25">
      <c r="B6" s="186" t="s">
        <v>75</v>
      </c>
      <c r="C6" s="458" t="str">
        <f>IF('Tantárgyi törzsadatok'!C12="","",'Tantárgyi törzsadatok'!C12)</f>
        <v/>
      </c>
      <c r="D6" s="458"/>
      <c r="E6" s="458"/>
      <c r="F6" s="458"/>
      <c r="G6" s="219"/>
      <c r="H6" s="219"/>
      <c r="I6" s="187"/>
      <c r="J6" s="187"/>
    </row>
    <row r="7" spans="1:10" ht="6" customHeight="1" x14ac:dyDescent="0.25">
      <c r="B7" s="188"/>
      <c r="C7" s="209"/>
      <c r="D7" s="219"/>
      <c r="E7" s="219"/>
      <c r="F7" s="219"/>
      <c r="G7" s="219"/>
      <c r="H7" s="219"/>
      <c r="I7" s="187"/>
      <c r="J7" s="187"/>
    </row>
    <row r="8" spans="1:10" ht="15.75" hidden="1" x14ac:dyDescent="0.25">
      <c r="C8" s="226" t="s">
        <v>18</v>
      </c>
      <c r="D8" s="219"/>
      <c r="E8" s="219"/>
      <c r="F8" s="219"/>
      <c r="G8" s="219"/>
      <c r="H8" s="219"/>
      <c r="I8" s="187"/>
      <c r="J8" s="187"/>
    </row>
    <row r="9" spans="1:10" ht="15.75" hidden="1" x14ac:dyDescent="0.25">
      <c r="C9" s="226" t="s">
        <v>19</v>
      </c>
      <c r="D9" s="219"/>
      <c r="E9" s="219"/>
      <c r="F9" s="219"/>
      <c r="G9" s="219"/>
      <c r="H9" s="219"/>
      <c r="I9" s="187"/>
      <c r="J9" s="187"/>
    </row>
    <row r="10" spans="1:10" ht="15" customHeight="1" x14ac:dyDescent="0.25">
      <c r="B10" s="186" t="s">
        <v>76</v>
      </c>
      <c r="C10" s="278" t="str">
        <f>IF('Tantárgyi törzsadatok'!C7="","",'Tantárgyi törzsadatok'!C7)</f>
        <v>magyar</v>
      </c>
      <c r="D10" s="456" t="s">
        <v>13</v>
      </c>
      <c r="E10" s="456"/>
      <c r="F10" s="458" t="str">
        <f>IF('Tantárgyi törzsadatok'!C11="","",'Tantárgyi törzsadatok'!C11)</f>
        <v/>
      </c>
      <c r="G10" s="458"/>
      <c r="H10" s="458"/>
      <c r="I10" s="187"/>
      <c r="J10" s="187"/>
    </row>
    <row r="11" spans="1:10" ht="6" customHeight="1" x14ac:dyDescent="0.25">
      <c r="B11" s="186"/>
      <c r="C11" s="209"/>
      <c r="D11" s="219"/>
      <c r="E11" s="219"/>
      <c r="F11" s="219"/>
      <c r="G11" s="219"/>
      <c r="H11" s="219"/>
      <c r="I11" s="187"/>
      <c r="J11" s="187"/>
    </row>
    <row r="12" spans="1:10" ht="15" customHeight="1" x14ac:dyDescent="0.25">
      <c r="B12" s="186" t="s">
        <v>77</v>
      </c>
      <c r="C12" s="457" t="str">
        <f>IF('Tantárgyi törzsadatok'!C8="","",'Tantárgyi törzsadatok'!C8)</f>
        <v/>
      </c>
      <c r="D12" s="457"/>
      <c r="E12" s="457"/>
      <c r="F12" s="459" t="s">
        <v>78</v>
      </c>
      <c r="G12" s="459"/>
      <c r="H12" s="224" t="str">
        <f>IF('Tantárgyi törzsadatok'!C9="","",'Tantárgyi törzsadatok'!C9)</f>
        <v/>
      </c>
      <c r="I12" s="187"/>
      <c r="J12" s="187"/>
    </row>
    <row r="13" spans="1:10" ht="9" customHeight="1" thickBot="1" x14ac:dyDescent="0.25">
      <c r="B13" s="187"/>
      <c r="C13" s="189"/>
      <c r="D13" s="187"/>
      <c r="E13" s="187"/>
      <c r="F13" s="187"/>
      <c r="G13" s="187"/>
      <c r="H13" s="187"/>
      <c r="I13" s="187"/>
      <c r="J13" s="187"/>
    </row>
    <row r="14" spans="1:10" s="195" customFormat="1" ht="62.25" customHeight="1" thickBot="1" x14ac:dyDescent="0.25">
      <c r="A14" s="190" t="s">
        <v>79</v>
      </c>
      <c r="B14" s="191" t="s">
        <v>80</v>
      </c>
      <c r="C14" s="192" t="s">
        <v>12</v>
      </c>
      <c r="D14" s="192" t="s">
        <v>81</v>
      </c>
      <c r="E14" s="192" t="s">
        <v>82</v>
      </c>
      <c r="F14" s="192"/>
      <c r="G14" s="193" t="s">
        <v>113</v>
      </c>
      <c r="H14" s="193" t="s">
        <v>114</v>
      </c>
      <c r="I14" s="193"/>
      <c r="J14" s="194" t="s">
        <v>83</v>
      </c>
    </row>
    <row r="15" spans="1:10" s="195" customFormat="1" ht="15.75" hidden="1" x14ac:dyDescent="0.2">
      <c r="A15" s="256"/>
      <c r="B15" s="257"/>
      <c r="C15" s="258"/>
      <c r="D15" s="258"/>
      <c r="E15" s="259"/>
      <c r="F15" s="258"/>
      <c r="G15" s="267">
        <v>2700</v>
      </c>
      <c r="H15" s="267">
        <v>1800</v>
      </c>
      <c r="I15" s="267"/>
      <c r="J15" s="260"/>
    </row>
    <row r="16" spans="1:10" s="182" customFormat="1" ht="18" customHeight="1" x14ac:dyDescent="0.2">
      <c r="A16" s="253"/>
      <c r="B16" s="254" t="str">
        <f>IF($A16="","",VLOOKUP($A16,'Tantárgyi törzsadatok'!$A$16:$J$45,2))</f>
        <v/>
      </c>
      <c r="C16" s="255" t="str">
        <f>IF($A16="","",VLOOKUP($A16,'Tantárgyi törzsadatok'!$A$16:$J$45,10))</f>
        <v/>
      </c>
      <c r="D16" s="227"/>
      <c r="E16" s="227"/>
      <c r="F16" s="227"/>
      <c r="G16" s="228">
        <f>D16*G$15</f>
        <v>0</v>
      </c>
      <c r="H16" s="228">
        <f>E16*H$15</f>
        <v>0</v>
      </c>
      <c r="I16" s="228"/>
      <c r="J16" s="229">
        <f>G16+H16+I16</f>
        <v>0</v>
      </c>
    </row>
    <row r="17" spans="1:10" ht="18" customHeight="1" x14ac:dyDescent="0.2">
      <c r="A17" s="238"/>
      <c r="B17" s="230" t="str">
        <f>IF($A17="","",VLOOKUP($A17,'Tantárgyi törzsadatok'!$A$16:$J$45,2))</f>
        <v/>
      </c>
      <c r="C17" s="231" t="str">
        <f>IF($A17="","",VLOOKUP($A17,'Tantárgyi törzsadatok'!$A$16:$J$45,10))</f>
        <v/>
      </c>
      <c r="D17" s="221"/>
      <c r="E17" s="221"/>
      <c r="F17" s="220"/>
      <c r="G17" s="196">
        <f t="shared" ref="G17:H35" si="0">D17*G$15</f>
        <v>0</v>
      </c>
      <c r="H17" s="196">
        <f t="shared" si="0"/>
        <v>0</v>
      </c>
      <c r="I17" s="196"/>
      <c r="J17" s="197">
        <f t="shared" ref="J17:J35" si="1">G17+H17+I17</f>
        <v>0</v>
      </c>
    </row>
    <row r="18" spans="1:10" ht="18" customHeight="1" x14ac:dyDescent="0.2">
      <c r="A18" s="238"/>
      <c r="B18" s="230" t="str">
        <f>IF($A18="","",VLOOKUP($A18,'Tantárgyi törzsadatok'!$A$16:$J$45,2))</f>
        <v/>
      </c>
      <c r="C18" s="231" t="str">
        <f>IF($A18="","",VLOOKUP($A18,'Tantárgyi törzsadatok'!$A$16:$J$45,10))</f>
        <v/>
      </c>
      <c r="D18" s="221"/>
      <c r="E18" s="221"/>
      <c r="F18" s="220"/>
      <c r="G18" s="196">
        <f t="shared" si="0"/>
        <v>0</v>
      </c>
      <c r="H18" s="196">
        <f t="shared" si="0"/>
        <v>0</v>
      </c>
      <c r="I18" s="196"/>
      <c r="J18" s="197">
        <f t="shared" si="1"/>
        <v>0</v>
      </c>
    </row>
    <row r="19" spans="1:10" ht="18" customHeight="1" x14ac:dyDescent="0.2">
      <c r="A19" s="238"/>
      <c r="B19" s="230" t="str">
        <f>IF($A19="","",VLOOKUP($A19,'Tantárgyi törzsadatok'!$A$16:$J$45,2))</f>
        <v/>
      </c>
      <c r="C19" s="231" t="str">
        <f>IF($A19="","",VLOOKUP($A19,'Tantárgyi törzsadatok'!$A$16:$J$45,10))</f>
        <v/>
      </c>
      <c r="D19" s="221"/>
      <c r="E19" s="221"/>
      <c r="F19" s="220"/>
      <c r="G19" s="196">
        <f t="shared" si="0"/>
        <v>0</v>
      </c>
      <c r="H19" s="196">
        <f t="shared" si="0"/>
        <v>0</v>
      </c>
      <c r="I19" s="196"/>
      <c r="J19" s="197">
        <f t="shared" si="1"/>
        <v>0</v>
      </c>
    </row>
    <row r="20" spans="1:10" ht="18" customHeight="1" x14ac:dyDescent="0.2">
      <c r="A20" s="238"/>
      <c r="B20" s="230" t="str">
        <f>IF($A20="","",VLOOKUP($A20,'Tantárgyi törzsadatok'!$A$16:$J$45,2))</f>
        <v/>
      </c>
      <c r="C20" s="231" t="str">
        <f>IF($A20="","",VLOOKUP($A20,'Tantárgyi törzsadatok'!$A$16:$J$45,10))</f>
        <v/>
      </c>
      <c r="D20" s="221"/>
      <c r="E20" s="221"/>
      <c r="F20" s="220"/>
      <c r="G20" s="196">
        <f t="shared" si="0"/>
        <v>0</v>
      </c>
      <c r="H20" s="196">
        <f t="shared" si="0"/>
        <v>0</v>
      </c>
      <c r="I20" s="196"/>
      <c r="J20" s="197">
        <f t="shared" si="1"/>
        <v>0</v>
      </c>
    </row>
    <row r="21" spans="1:10" ht="18" customHeight="1" x14ac:dyDescent="0.2">
      <c r="A21" s="238"/>
      <c r="B21" s="230" t="str">
        <f>IF($A21="","",VLOOKUP($A21,'Tantárgyi törzsadatok'!$A$16:$J$45,2))</f>
        <v/>
      </c>
      <c r="C21" s="231" t="str">
        <f>IF($A21="","",VLOOKUP($A21,'Tantárgyi törzsadatok'!$A$16:$J$45,10))</f>
        <v/>
      </c>
      <c r="D21" s="221"/>
      <c r="E21" s="221"/>
      <c r="F21" s="220"/>
      <c r="G21" s="196">
        <f t="shared" si="0"/>
        <v>0</v>
      </c>
      <c r="H21" s="196">
        <f t="shared" si="0"/>
        <v>0</v>
      </c>
      <c r="I21" s="196"/>
      <c r="J21" s="197">
        <f t="shared" si="1"/>
        <v>0</v>
      </c>
    </row>
    <row r="22" spans="1:10" ht="18" customHeight="1" x14ac:dyDescent="0.2">
      <c r="A22" s="238"/>
      <c r="B22" s="230" t="str">
        <f>IF($A22="","",VLOOKUP($A22,'Tantárgyi törzsadatok'!$A$16:$J$45,2))</f>
        <v/>
      </c>
      <c r="C22" s="231" t="str">
        <f>IF($A22="","",VLOOKUP($A22,'Tantárgyi törzsadatok'!$A$16:$J$45,10))</f>
        <v/>
      </c>
      <c r="D22" s="221"/>
      <c r="E22" s="221"/>
      <c r="F22" s="220"/>
      <c r="G22" s="196">
        <f t="shared" si="0"/>
        <v>0</v>
      </c>
      <c r="H22" s="196">
        <f t="shared" si="0"/>
        <v>0</v>
      </c>
      <c r="I22" s="196"/>
      <c r="J22" s="197">
        <f t="shared" si="1"/>
        <v>0</v>
      </c>
    </row>
    <row r="23" spans="1:10" ht="18" customHeight="1" x14ac:dyDescent="0.2">
      <c r="A23" s="238"/>
      <c r="B23" s="230" t="str">
        <f>IF($A23="","",VLOOKUP($A23,'Tantárgyi törzsadatok'!$A$16:$J$45,2))</f>
        <v/>
      </c>
      <c r="C23" s="231" t="str">
        <f>IF($A23="","",VLOOKUP($A23,'Tantárgyi törzsadatok'!$A$16:$J$45,10))</f>
        <v/>
      </c>
      <c r="D23" s="221"/>
      <c r="E23" s="221"/>
      <c r="F23" s="220"/>
      <c r="G23" s="196">
        <f t="shared" ref="G23:H27" si="2">D23*G$15</f>
        <v>0</v>
      </c>
      <c r="H23" s="196">
        <f t="shared" si="2"/>
        <v>0</v>
      </c>
      <c r="I23" s="196"/>
      <c r="J23" s="197">
        <f>G23+H23+I23</f>
        <v>0</v>
      </c>
    </row>
    <row r="24" spans="1:10" ht="18" customHeight="1" x14ac:dyDescent="0.2">
      <c r="A24" s="238"/>
      <c r="B24" s="230" t="str">
        <f>IF($A24="","",VLOOKUP($A24,'Tantárgyi törzsadatok'!$A$16:$J$45,2))</f>
        <v/>
      </c>
      <c r="C24" s="231" t="str">
        <f>IF($A24="","",VLOOKUP($A24,'Tantárgyi törzsadatok'!$A$16:$J$45,10))</f>
        <v/>
      </c>
      <c r="D24" s="221"/>
      <c r="E24" s="221"/>
      <c r="F24" s="220"/>
      <c r="G24" s="196">
        <f t="shared" si="2"/>
        <v>0</v>
      </c>
      <c r="H24" s="196">
        <f t="shared" si="2"/>
        <v>0</v>
      </c>
      <c r="I24" s="196"/>
      <c r="J24" s="197">
        <f>G24+H24+I24</f>
        <v>0</v>
      </c>
    </row>
    <row r="25" spans="1:10" ht="18" customHeight="1" x14ac:dyDescent="0.2">
      <c r="A25" s="238"/>
      <c r="B25" s="230" t="str">
        <f>IF($A25="","",VLOOKUP($A25,'Tantárgyi törzsadatok'!$A$16:$J$45,2))</f>
        <v/>
      </c>
      <c r="C25" s="231" t="str">
        <f>IF($A25="","",VLOOKUP($A25,'Tantárgyi törzsadatok'!$A$16:$J$45,10))</f>
        <v/>
      </c>
      <c r="D25" s="221"/>
      <c r="E25" s="221"/>
      <c r="F25" s="220"/>
      <c r="G25" s="196">
        <f t="shared" si="2"/>
        <v>0</v>
      </c>
      <c r="H25" s="196">
        <f t="shared" si="2"/>
        <v>0</v>
      </c>
      <c r="I25" s="196"/>
      <c r="J25" s="197">
        <f>G25+H25+I25</f>
        <v>0</v>
      </c>
    </row>
    <row r="26" spans="1:10" ht="18" customHeight="1" x14ac:dyDescent="0.2">
      <c r="A26" s="238"/>
      <c r="B26" s="230" t="str">
        <f>IF($A26="","",VLOOKUP($A26,'Tantárgyi törzsadatok'!$A$16:$J$45,2))</f>
        <v/>
      </c>
      <c r="C26" s="231" t="str">
        <f>IF($A26="","",VLOOKUP($A26,'Tantárgyi törzsadatok'!$A$16:$J$45,10))</f>
        <v/>
      </c>
      <c r="D26" s="221"/>
      <c r="E26" s="221"/>
      <c r="F26" s="220"/>
      <c r="G26" s="196">
        <f t="shared" si="2"/>
        <v>0</v>
      </c>
      <c r="H26" s="196">
        <f t="shared" si="2"/>
        <v>0</v>
      </c>
      <c r="I26" s="196"/>
      <c r="J26" s="197">
        <f>G26+H26+I26</f>
        <v>0</v>
      </c>
    </row>
    <row r="27" spans="1:10" ht="18" customHeight="1" x14ac:dyDescent="0.2">
      <c r="A27" s="238"/>
      <c r="B27" s="230" t="str">
        <f>IF($A27="","",VLOOKUP($A27,'Tantárgyi törzsadatok'!$A$16:$J$45,2))</f>
        <v/>
      </c>
      <c r="C27" s="231" t="str">
        <f>IF($A27="","",VLOOKUP($A27,'Tantárgyi törzsadatok'!$A$16:$J$45,10))</f>
        <v/>
      </c>
      <c r="D27" s="221"/>
      <c r="E27" s="221"/>
      <c r="F27" s="220"/>
      <c r="G27" s="196">
        <f t="shared" si="2"/>
        <v>0</v>
      </c>
      <c r="H27" s="196">
        <f t="shared" si="2"/>
        <v>0</v>
      </c>
      <c r="I27" s="196"/>
      <c r="J27" s="197">
        <f>G27+H27+I27</f>
        <v>0</v>
      </c>
    </row>
    <row r="28" spans="1:10" ht="18" customHeight="1" x14ac:dyDescent="0.2">
      <c r="A28" s="238"/>
      <c r="B28" s="230" t="str">
        <f>IF($A28="","",VLOOKUP($A28,'Tantárgyi törzsadatok'!$A$16:$J$45,2))</f>
        <v/>
      </c>
      <c r="C28" s="231" t="str">
        <f>IF($A28="","",VLOOKUP($A28,'Tantárgyi törzsadatok'!$A$16:$J$45,10))</f>
        <v/>
      </c>
      <c r="D28" s="221"/>
      <c r="E28" s="221"/>
      <c r="F28" s="220"/>
      <c r="G28" s="196">
        <f t="shared" si="0"/>
        <v>0</v>
      </c>
      <c r="H28" s="196">
        <f t="shared" si="0"/>
        <v>0</v>
      </c>
      <c r="I28" s="196"/>
      <c r="J28" s="197">
        <f t="shared" si="1"/>
        <v>0</v>
      </c>
    </row>
    <row r="29" spans="1:10" ht="18" customHeight="1" x14ac:dyDescent="0.2">
      <c r="A29" s="238"/>
      <c r="B29" s="230" t="str">
        <f>IF($A29="","",VLOOKUP($A29,'Tantárgyi törzsadatok'!$A$16:$J$45,2))</f>
        <v/>
      </c>
      <c r="C29" s="231" t="str">
        <f>IF($A29="","",VLOOKUP($A29,'Tantárgyi törzsadatok'!$A$16:$J$45,10))</f>
        <v/>
      </c>
      <c r="D29" s="221"/>
      <c r="E29" s="221"/>
      <c r="F29" s="220"/>
      <c r="G29" s="196">
        <f t="shared" si="0"/>
        <v>0</v>
      </c>
      <c r="H29" s="196">
        <f t="shared" si="0"/>
        <v>0</v>
      </c>
      <c r="I29" s="196"/>
      <c r="J29" s="197">
        <f t="shared" si="1"/>
        <v>0</v>
      </c>
    </row>
    <row r="30" spans="1:10" ht="18" customHeight="1" x14ac:dyDescent="0.2">
      <c r="A30" s="238"/>
      <c r="B30" s="230" t="str">
        <f>IF($A30="","",VLOOKUP($A30,'Tantárgyi törzsadatok'!$A$16:$J$45,2))</f>
        <v/>
      </c>
      <c r="C30" s="231" t="str">
        <f>IF($A30="","",VLOOKUP($A30,'Tantárgyi törzsadatok'!$A$16:$J$45,10))</f>
        <v/>
      </c>
      <c r="D30" s="221"/>
      <c r="E30" s="221"/>
      <c r="F30" s="220"/>
      <c r="G30" s="196">
        <f t="shared" si="0"/>
        <v>0</v>
      </c>
      <c r="H30" s="196">
        <f t="shared" si="0"/>
        <v>0</v>
      </c>
      <c r="I30" s="196"/>
      <c r="J30" s="197">
        <f t="shared" si="1"/>
        <v>0</v>
      </c>
    </row>
    <row r="31" spans="1:10" ht="18" customHeight="1" x14ac:dyDescent="0.2">
      <c r="A31" s="238"/>
      <c r="B31" s="230" t="str">
        <f>IF($A31="","",VLOOKUP($A31,'Tantárgyi törzsadatok'!$A$16:$J$45,2))</f>
        <v/>
      </c>
      <c r="C31" s="231" t="str">
        <f>IF($A31="","",VLOOKUP($A31,'Tantárgyi törzsadatok'!$A$16:$J$45,10))</f>
        <v/>
      </c>
      <c r="D31" s="221"/>
      <c r="E31" s="221"/>
      <c r="F31" s="220"/>
      <c r="G31" s="196">
        <f t="shared" si="0"/>
        <v>0</v>
      </c>
      <c r="H31" s="196">
        <f t="shared" si="0"/>
        <v>0</v>
      </c>
      <c r="I31" s="196"/>
      <c r="J31" s="197">
        <f t="shared" si="1"/>
        <v>0</v>
      </c>
    </row>
    <row r="32" spans="1:10" ht="18" customHeight="1" x14ac:dyDescent="0.2">
      <c r="A32" s="238"/>
      <c r="B32" s="230" t="str">
        <f>IF($A32="","",VLOOKUP($A32,'Tantárgyi törzsadatok'!$A$16:$J$45,2))</f>
        <v/>
      </c>
      <c r="C32" s="231" t="str">
        <f>IF($A32="","",VLOOKUP($A32,'Tantárgyi törzsadatok'!$A$16:$J$45,10))</f>
        <v/>
      </c>
      <c r="D32" s="221"/>
      <c r="E32" s="221"/>
      <c r="F32" s="220"/>
      <c r="G32" s="196">
        <f t="shared" si="0"/>
        <v>0</v>
      </c>
      <c r="H32" s="196">
        <f t="shared" si="0"/>
        <v>0</v>
      </c>
      <c r="I32" s="196"/>
      <c r="J32" s="197">
        <f t="shared" si="1"/>
        <v>0</v>
      </c>
    </row>
    <row r="33" spans="1:10" ht="18" customHeight="1" x14ac:dyDescent="0.2">
      <c r="A33" s="238"/>
      <c r="B33" s="230" t="str">
        <f>IF($A33="","",VLOOKUP($A33,'Tantárgyi törzsadatok'!$A$16:$J$45,2))</f>
        <v/>
      </c>
      <c r="C33" s="231" t="str">
        <f>IF($A33="","",VLOOKUP($A33,'Tantárgyi törzsadatok'!$A$16:$J$45,10))</f>
        <v/>
      </c>
      <c r="D33" s="221"/>
      <c r="E33" s="221"/>
      <c r="F33" s="220"/>
      <c r="G33" s="196">
        <f t="shared" si="0"/>
        <v>0</v>
      </c>
      <c r="H33" s="196">
        <f t="shared" si="0"/>
        <v>0</v>
      </c>
      <c r="I33" s="196"/>
      <c r="J33" s="197">
        <f t="shared" si="1"/>
        <v>0</v>
      </c>
    </row>
    <row r="34" spans="1:10" ht="18" customHeight="1" x14ac:dyDescent="0.2">
      <c r="A34" s="238"/>
      <c r="B34" s="234" t="str">
        <f>IF($A34="","",VLOOKUP($A34,'Tantárgyi törzsadatok'!$A$16:$J$45,2))</f>
        <v/>
      </c>
      <c r="C34" s="235" t="str">
        <f>IF($A34="","",VLOOKUP($A34,'Tantárgyi törzsadatok'!$A$16:$J$45,10))</f>
        <v/>
      </c>
      <c r="D34" s="221"/>
      <c r="E34" s="221"/>
      <c r="F34" s="220"/>
      <c r="G34" s="196">
        <f t="shared" si="0"/>
        <v>0</v>
      </c>
      <c r="H34" s="196">
        <f t="shared" si="0"/>
        <v>0</v>
      </c>
      <c r="I34" s="196"/>
      <c r="J34" s="197">
        <f t="shared" si="1"/>
        <v>0</v>
      </c>
    </row>
    <row r="35" spans="1:10" ht="18" customHeight="1" thickBot="1" x14ac:dyDescent="0.25">
      <c r="A35" s="239"/>
      <c r="B35" s="232" t="str">
        <f>IF($A35="","",VLOOKUP($A35,'Tantárgyi törzsadatok'!$A$16:$J$45,2))</f>
        <v/>
      </c>
      <c r="C35" s="233" t="str">
        <f>IF($A35="","",VLOOKUP($A35,'Tantárgyi törzsadatok'!$A$16:$J$45,10))</f>
        <v/>
      </c>
      <c r="D35" s="222"/>
      <c r="E35" s="222"/>
      <c r="F35" s="223"/>
      <c r="G35" s="196">
        <f t="shared" si="0"/>
        <v>0</v>
      </c>
      <c r="H35" s="196">
        <f t="shared" si="0"/>
        <v>0</v>
      </c>
      <c r="I35" s="196"/>
      <c r="J35" s="197">
        <f t="shared" si="1"/>
        <v>0</v>
      </c>
    </row>
    <row r="36" spans="1:10" s="204" customFormat="1" ht="16.5" thickBot="1" x14ac:dyDescent="0.3">
      <c r="A36" s="198"/>
      <c r="B36" s="199" t="s">
        <v>84</v>
      </c>
      <c r="C36" s="200"/>
      <c r="D36" s="201">
        <f t="shared" ref="D36:J36" si="3">SUM(D16:D35)</f>
        <v>0</v>
      </c>
      <c r="E36" s="201">
        <f t="shared" si="3"/>
        <v>0</v>
      </c>
      <c r="F36" s="201"/>
      <c r="G36" s="202">
        <f t="shared" si="3"/>
        <v>0</v>
      </c>
      <c r="H36" s="202">
        <f t="shared" si="3"/>
        <v>0</v>
      </c>
      <c r="I36" s="202"/>
      <c r="J36" s="203">
        <f t="shared" si="3"/>
        <v>0</v>
      </c>
    </row>
    <row r="37" spans="1:10" ht="9" customHeight="1" thickBot="1" x14ac:dyDescent="0.25">
      <c r="B37" s="187"/>
      <c r="C37" s="189"/>
      <c r="D37" s="187"/>
      <c r="E37" s="187"/>
      <c r="F37" s="187"/>
      <c r="G37" s="187"/>
      <c r="H37" s="187"/>
      <c r="I37" s="187"/>
      <c r="J37" s="187"/>
    </row>
    <row r="38" spans="1:10" ht="16.5" thickBot="1" x14ac:dyDescent="0.25">
      <c r="B38" s="205" t="s">
        <v>85</v>
      </c>
      <c r="C38" s="206">
        <f>D36+E36+F36</f>
        <v>0</v>
      </c>
      <c r="D38" s="187"/>
      <c r="E38" s="187"/>
      <c r="F38" s="187"/>
      <c r="G38" s="187"/>
      <c r="H38" s="187"/>
      <c r="I38" s="187"/>
      <c r="J38" s="187"/>
    </row>
    <row r="39" spans="1:10" ht="15" x14ac:dyDescent="0.2">
      <c r="B39" s="187"/>
      <c r="C39" s="189"/>
      <c r="D39" s="187"/>
      <c r="E39" s="187"/>
      <c r="F39" s="187"/>
      <c r="G39" s="187"/>
      <c r="H39" s="187"/>
      <c r="I39" s="187"/>
      <c r="J39" s="187"/>
    </row>
    <row r="40" spans="1:10" ht="15" x14ac:dyDescent="0.2">
      <c r="B40" s="187"/>
      <c r="C40" s="189"/>
      <c r="D40" s="187"/>
      <c r="E40" s="187"/>
      <c r="F40" s="187"/>
      <c r="G40" s="454"/>
      <c r="H40" s="454"/>
      <c r="I40" s="454"/>
      <c r="J40" s="454"/>
    </row>
    <row r="41" spans="1:10" ht="15.75" x14ac:dyDescent="0.25">
      <c r="B41" s="207" t="s">
        <v>92</v>
      </c>
      <c r="C41" s="466"/>
      <c r="D41" s="466"/>
      <c r="E41" s="187"/>
      <c r="F41" s="187"/>
      <c r="G41" s="454"/>
      <c r="H41" s="454"/>
      <c r="I41" s="454"/>
      <c r="J41" s="454"/>
    </row>
    <row r="42" spans="1:10" x14ac:dyDescent="0.2">
      <c r="G42" s="454"/>
      <c r="H42" s="454"/>
      <c r="I42" s="454"/>
      <c r="J42" s="454"/>
    </row>
    <row r="43" spans="1:10" ht="15.75" x14ac:dyDescent="0.2">
      <c r="B43" s="252" t="s">
        <v>87</v>
      </c>
      <c r="C43" s="453"/>
      <c r="D43" s="453"/>
      <c r="E43" s="453"/>
      <c r="G43" s="455"/>
      <c r="H43" s="455"/>
      <c r="I43" s="455"/>
      <c r="J43" s="455"/>
    </row>
    <row r="44" spans="1:10" ht="15.75" thickBot="1" x14ac:dyDescent="0.3">
      <c r="G44" s="462" t="s">
        <v>86</v>
      </c>
      <c r="H44" s="462"/>
      <c r="I44" s="463"/>
      <c r="J44" s="463"/>
    </row>
    <row r="45" spans="1:10" ht="13.5" customHeight="1" thickTop="1" x14ac:dyDescent="0.2">
      <c r="B45" s="444" t="s">
        <v>162</v>
      </c>
      <c r="C45" s="445"/>
      <c r="D45" s="445"/>
      <c r="E45" s="446"/>
      <c r="F45" s="240"/>
      <c r="G45" s="240"/>
    </row>
    <row r="46" spans="1:10" ht="13.5" customHeight="1" x14ac:dyDescent="0.2">
      <c r="B46" s="447"/>
      <c r="C46" s="448"/>
      <c r="D46" s="448"/>
      <c r="E46" s="449"/>
      <c r="F46" s="240"/>
      <c r="G46" s="240"/>
    </row>
    <row r="47" spans="1:10" ht="13.5" customHeight="1" x14ac:dyDescent="0.2">
      <c r="B47" s="447"/>
      <c r="C47" s="448"/>
      <c r="D47" s="448"/>
      <c r="E47" s="449"/>
      <c r="F47" s="240"/>
      <c r="G47" s="240"/>
    </row>
    <row r="48" spans="1:10" ht="13.5" customHeight="1" thickBot="1" x14ac:dyDescent="0.25">
      <c r="B48" s="450"/>
      <c r="C48" s="451"/>
      <c r="D48" s="451"/>
      <c r="E48" s="452"/>
      <c r="F48" s="240"/>
      <c r="G48" s="240"/>
    </row>
    <row r="49" ht="13.5" thickTop="1" x14ac:dyDescent="0.2"/>
  </sheetData>
  <sheetProtection algorithmName="SHA-512" hashValue="A78jgVu0SRXEBYO+Ix9irbpxjbXQQDbT+Y1Vo7Hz2i9k+yCTPPUiZGg7GeHK/t6RdtBNdI7NimHPR1PTQfvGmg==" saltValue="pq49Rhdpd1Zsq2DuBI2IHQ==" spinCount="100000" sheet="1" formatCells="0" selectLockedCells="1"/>
  <mergeCells count="16">
    <mergeCell ref="A1:B1"/>
    <mergeCell ref="I1:J1"/>
    <mergeCell ref="G44:J44"/>
    <mergeCell ref="D4:H4"/>
    <mergeCell ref="I4:J4"/>
    <mergeCell ref="C41:D41"/>
    <mergeCell ref="C6:F6"/>
    <mergeCell ref="B2:J2"/>
    <mergeCell ref="B4:C4"/>
    <mergeCell ref="B45:E48"/>
    <mergeCell ref="C43:E43"/>
    <mergeCell ref="G40:J43"/>
    <mergeCell ref="D10:E10"/>
    <mergeCell ref="C12:E12"/>
    <mergeCell ref="F10:H10"/>
    <mergeCell ref="F12:G12"/>
  </mergeCells>
  <pageMargins left="0.47244094488188981" right="0.47244094488188981" top="0.78740157480314965" bottom="0.78740157480314965" header="0.39370078740157483" footer="0.39370078740157483"/>
  <pageSetup paperSize="9" scale="80" orientation="portrait" r:id="rId1"/>
  <headerFooter alignWithMargins="0">
    <oddHeader>&amp;L&amp;"Arial,Félkövér"&amp;A&amp;CM-es (magyar)</oddHeader>
    <oddFooter>&amp;LVizsgajelentés/&amp;A&amp;R&amp;10&amp;F/&amp;A/PP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4">
    <tabColor rgb="FF00B050"/>
    <pageSetUpPr fitToPage="1"/>
  </sheetPr>
  <dimension ref="A1:I43"/>
  <sheetViews>
    <sheetView showGridLines="0" view="pageBreakPreview" zoomScale="150" zoomScaleNormal="100" zoomScaleSheetLayoutView="150" workbookViewId="0">
      <selection sqref="A1:B1"/>
    </sheetView>
  </sheetViews>
  <sheetFormatPr defaultRowHeight="15" x14ac:dyDescent="0.2"/>
  <cols>
    <col min="1" max="1" width="2.21875" style="210" customWidth="1"/>
    <col min="2" max="8" width="8.88671875" style="211"/>
    <col min="9" max="9" width="19.33203125" style="211" customWidth="1"/>
    <col min="10" max="16384" width="8.88671875" style="211"/>
  </cols>
  <sheetData>
    <row r="1" spans="1:9" s="105" customFormat="1" ht="18" customHeight="1" x14ac:dyDescent="0.2">
      <c r="A1" s="431" t="str">
        <f>'Díjak és etapok'!C5</f>
        <v>PTE ÁOK</v>
      </c>
      <c r="B1" s="431"/>
      <c r="H1" s="432">
        <f>'Díjak és etapok'!C6</f>
        <v>2025</v>
      </c>
      <c r="I1" s="433"/>
    </row>
    <row r="2" spans="1:9" ht="15.75" x14ac:dyDescent="0.2">
      <c r="B2" s="473" t="s">
        <v>57</v>
      </c>
      <c r="C2" s="473"/>
      <c r="D2" s="473"/>
      <c r="E2" s="473"/>
      <c r="F2" s="473"/>
      <c r="G2" s="473"/>
      <c r="H2" s="474"/>
      <c r="I2" s="474"/>
    </row>
    <row r="3" spans="1:9" x14ac:dyDescent="0.2">
      <c r="B3" s="475" t="s">
        <v>88</v>
      </c>
      <c r="C3" s="475"/>
      <c r="D3" s="475"/>
      <c r="E3" s="475"/>
      <c r="F3" s="475"/>
      <c r="G3" s="475"/>
      <c r="H3" s="476"/>
      <c r="I3" s="476"/>
    </row>
    <row r="4" spans="1:9" s="212" customFormat="1" ht="6.75" customHeight="1" x14ac:dyDescent="0.2">
      <c r="A4" s="210"/>
      <c r="B4" s="477"/>
      <c r="C4" s="477"/>
      <c r="D4" s="477"/>
      <c r="E4" s="477"/>
      <c r="F4" s="477"/>
      <c r="G4" s="477"/>
      <c r="H4" s="477"/>
      <c r="I4" s="477"/>
    </row>
    <row r="5" spans="1:9" s="212" customFormat="1" ht="44.25" customHeight="1" x14ac:dyDescent="0.2">
      <c r="A5" s="213" t="s">
        <v>29</v>
      </c>
      <c r="B5" s="469" t="s">
        <v>115</v>
      </c>
      <c r="C5" s="469"/>
      <c r="D5" s="469"/>
      <c r="E5" s="469"/>
      <c r="F5" s="469"/>
      <c r="G5" s="469"/>
      <c r="H5" s="469"/>
      <c r="I5" s="469"/>
    </row>
    <row r="6" spans="1:9" s="212" customFormat="1" ht="18.75" customHeight="1" x14ac:dyDescent="0.2">
      <c r="A6" s="213" t="s">
        <v>30</v>
      </c>
      <c r="B6" s="469" t="s">
        <v>141</v>
      </c>
      <c r="C6" s="469"/>
      <c r="D6" s="469"/>
      <c r="E6" s="469"/>
      <c r="F6" s="469"/>
      <c r="G6" s="469"/>
      <c r="H6" s="469"/>
      <c r="I6" s="469"/>
    </row>
    <row r="7" spans="1:9" s="212" customFormat="1" ht="67.5" customHeight="1" x14ac:dyDescent="0.2">
      <c r="A7" s="213" t="s">
        <v>31</v>
      </c>
      <c r="B7" s="469" t="s">
        <v>153</v>
      </c>
      <c r="C7" s="469"/>
      <c r="D7" s="469"/>
      <c r="E7" s="469"/>
      <c r="F7" s="469"/>
      <c r="G7" s="469"/>
      <c r="H7" s="469"/>
      <c r="I7" s="469"/>
    </row>
    <row r="8" spans="1:9" s="212" customFormat="1" ht="42.75" customHeight="1" x14ac:dyDescent="0.2">
      <c r="A8" s="213" t="s">
        <v>36</v>
      </c>
      <c r="B8" s="469" t="s">
        <v>116</v>
      </c>
      <c r="C8" s="469"/>
      <c r="D8" s="469"/>
      <c r="E8" s="469"/>
      <c r="F8" s="469"/>
      <c r="G8" s="469"/>
      <c r="H8" s="469"/>
      <c r="I8" s="469"/>
    </row>
    <row r="9" spans="1:9" s="212" customFormat="1" ht="135.75" customHeight="1" x14ac:dyDescent="0.2">
      <c r="A9" s="213" t="s">
        <v>37</v>
      </c>
      <c r="B9" s="469" t="s">
        <v>152</v>
      </c>
      <c r="C9" s="469"/>
      <c r="D9" s="469"/>
      <c r="E9" s="469"/>
      <c r="F9" s="469"/>
      <c r="G9" s="469"/>
      <c r="H9" s="469"/>
      <c r="I9" s="469"/>
    </row>
    <row r="10" spans="1:9" s="212" customFormat="1" ht="18" customHeight="1" x14ac:dyDescent="0.2">
      <c r="A10" s="213" t="s">
        <v>39</v>
      </c>
      <c r="B10" s="469" t="s">
        <v>117</v>
      </c>
      <c r="C10" s="469"/>
      <c r="D10" s="469"/>
      <c r="E10" s="469"/>
      <c r="F10" s="469"/>
      <c r="G10" s="469"/>
      <c r="H10" s="469"/>
      <c r="I10" s="469"/>
    </row>
    <row r="11" spans="1:9" s="212" customFormat="1" ht="26.25" customHeight="1" x14ac:dyDescent="0.2">
      <c r="A11" s="213" t="s">
        <v>40</v>
      </c>
      <c r="B11" s="471" t="s">
        <v>147</v>
      </c>
      <c r="C11" s="471"/>
      <c r="D11" s="471"/>
      <c r="E11" s="471"/>
      <c r="F11" s="471"/>
      <c r="G11" s="471"/>
      <c r="H11" s="471"/>
      <c r="I11" s="471"/>
    </row>
    <row r="12" spans="1:9" s="212" customFormat="1" ht="51.75" customHeight="1" x14ac:dyDescent="0.2">
      <c r="A12" s="213"/>
      <c r="B12" s="469"/>
      <c r="C12" s="469"/>
      <c r="D12" s="469"/>
      <c r="E12" s="469"/>
      <c r="F12" s="469"/>
      <c r="G12" s="469"/>
      <c r="H12" s="469"/>
      <c r="I12" s="469"/>
    </row>
    <row r="13" spans="1:9" s="212" customFormat="1" ht="6" customHeight="1" x14ac:dyDescent="0.2">
      <c r="A13" s="478" t="s">
        <v>166</v>
      </c>
      <c r="B13" s="478"/>
      <c r="C13" s="478"/>
      <c r="D13" s="214"/>
      <c r="E13" s="214"/>
      <c r="F13" s="214"/>
      <c r="G13" s="214"/>
      <c r="H13" s="214"/>
      <c r="I13" s="214"/>
    </row>
    <row r="14" spans="1:9" s="212" customFormat="1" ht="24" customHeight="1" x14ac:dyDescent="0.2">
      <c r="A14" s="478"/>
      <c r="B14" s="478"/>
      <c r="C14" s="478"/>
      <c r="D14" s="214"/>
      <c r="E14" s="214"/>
      <c r="F14" s="214"/>
      <c r="G14" s="214"/>
      <c r="H14" s="214"/>
      <c r="I14" s="214"/>
    </row>
    <row r="15" spans="1:9" s="212" customFormat="1" ht="13.5" customHeight="1" x14ac:dyDescent="0.2">
      <c r="A15" s="478"/>
      <c r="B15" s="478"/>
      <c r="C15" s="478"/>
      <c r="D15" s="214"/>
      <c r="E15" s="472" t="s">
        <v>106</v>
      </c>
      <c r="F15" s="472"/>
      <c r="G15" s="470" t="str">
        <f>A1</f>
        <v>PTE ÁOK</v>
      </c>
      <c r="H15" s="470"/>
      <c r="I15" s="214"/>
    </row>
    <row r="16" spans="1:9" s="212" customFormat="1" ht="35.25" customHeight="1" x14ac:dyDescent="0.2">
      <c r="A16" s="478"/>
      <c r="B16" s="478"/>
      <c r="C16" s="478"/>
      <c r="D16" s="215"/>
      <c r="F16" s="479" t="s">
        <v>156</v>
      </c>
      <c r="G16" s="479"/>
    </row>
    <row r="17" spans="1:4" s="212" customFormat="1" ht="14.25" x14ac:dyDescent="0.2">
      <c r="A17" s="210"/>
      <c r="D17" s="215"/>
    </row>
    <row r="18" spans="1:4" s="212" customFormat="1" ht="14.25" x14ac:dyDescent="0.2">
      <c r="A18" s="210"/>
    </row>
    <row r="19" spans="1:4" s="212" customFormat="1" ht="14.25" x14ac:dyDescent="0.2">
      <c r="A19" s="210"/>
    </row>
    <row r="20" spans="1:4" s="212" customFormat="1" ht="14.25" x14ac:dyDescent="0.2">
      <c r="A20" s="210"/>
    </row>
    <row r="21" spans="1:4" s="212" customFormat="1" ht="14.25" x14ac:dyDescent="0.2">
      <c r="A21" s="210"/>
    </row>
    <row r="22" spans="1:4" s="212" customFormat="1" ht="14.25" x14ac:dyDescent="0.2">
      <c r="A22" s="210"/>
    </row>
    <row r="23" spans="1:4" s="212" customFormat="1" ht="14.25" x14ac:dyDescent="0.2">
      <c r="A23" s="210"/>
    </row>
    <row r="24" spans="1:4" s="212" customFormat="1" ht="14.25" x14ac:dyDescent="0.2">
      <c r="A24" s="210"/>
    </row>
    <row r="25" spans="1:4" s="212" customFormat="1" ht="14.25" x14ac:dyDescent="0.2">
      <c r="A25" s="210"/>
    </row>
    <row r="26" spans="1:4" s="212" customFormat="1" ht="14.25" x14ac:dyDescent="0.2">
      <c r="A26" s="210"/>
    </row>
    <row r="27" spans="1:4" s="212" customFormat="1" ht="14.25" x14ac:dyDescent="0.2">
      <c r="A27" s="210"/>
    </row>
    <row r="28" spans="1:4" s="212" customFormat="1" ht="14.25" x14ac:dyDescent="0.2">
      <c r="A28" s="210"/>
    </row>
    <row r="29" spans="1:4" s="212" customFormat="1" ht="14.25" x14ac:dyDescent="0.2">
      <c r="A29" s="210"/>
    </row>
    <row r="30" spans="1:4" s="212" customFormat="1" ht="14.25" x14ac:dyDescent="0.2">
      <c r="A30" s="210"/>
    </row>
    <row r="31" spans="1:4" s="212" customFormat="1" ht="14.25" x14ac:dyDescent="0.2">
      <c r="A31" s="210"/>
    </row>
    <row r="32" spans="1:4" s="212" customFormat="1" ht="14.25" x14ac:dyDescent="0.2">
      <c r="A32" s="210"/>
    </row>
    <row r="33" spans="1:1" s="212" customFormat="1" ht="14.25" x14ac:dyDescent="0.2">
      <c r="A33" s="210"/>
    </row>
    <row r="34" spans="1:1" s="212" customFormat="1" ht="14.25" x14ac:dyDescent="0.2">
      <c r="A34" s="210"/>
    </row>
    <row r="35" spans="1:1" s="212" customFormat="1" ht="14.25" x14ac:dyDescent="0.2">
      <c r="A35" s="210"/>
    </row>
    <row r="36" spans="1:1" s="212" customFormat="1" ht="14.25" x14ac:dyDescent="0.2">
      <c r="A36" s="210"/>
    </row>
    <row r="37" spans="1:1" s="212" customFormat="1" ht="14.25" x14ac:dyDescent="0.2">
      <c r="A37" s="210"/>
    </row>
    <row r="38" spans="1:1" s="212" customFormat="1" ht="14.25" x14ac:dyDescent="0.2">
      <c r="A38" s="210"/>
    </row>
    <row r="39" spans="1:1" s="212" customFormat="1" ht="14.25" x14ac:dyDescent="0.2">
      <c r="A39" s="210"/>
    </row>
    <row r="40" spans="1:1" s="212" customFormat="1" ht="14.25" x14ac:dyDescent="0.2">
      <c r="A40" s="210"/>
    </row>
    <row r="41" spans="1:1" s="212" customFormat="1" ht="14.25" x14ac:dyDescent="0.2">
      <c r="A41" s="210"/>
    </row>
    <row r="42" spans="1:1" s="212" customFormat="1" ht="14.25" x14ac:dyDescent="0.2">
      <c r="A42" s="210"/>
    </row>
    <row r="43" spans="1:1" s="212" customFormat="1" ht="14.25" x14ac:dyDescent="0.2">
      <c r="A43" s="210"/>
    </row>
  </sheetData>
  <sheetProtection algorithmName="SHA-512" hashValue="L6dJGKNbpzBe3urZ1jkItLFhZkmGmn2ZzuzK9CEiabNwJFJNVTMRwZmth92Lx8+On+RUJnCMvCopAE4GzpK/nQ==" saltValue="s0J0CN7GD7+7kFZ5U2PqGA==" spinCount="100000" sheet="1" formatCells="0" selectLockedCells="1"/>
  <mergeCells count="17">
    <mergeCell ref="A1:B1"/>
    <mergeCell ref="H1:I1"/>
    <mergeCell ref="E15:F15"/>
    <mergeCell ref="B2:I2"/>
    <mergeCell ref="B3:I3"/>
    <mergeCell ref="B4:I4"/>
    <mergeCell ref="B5:I5"/>
    <mergeCell ref="B6:I6"/>
    <mergeCell ref="B10:I10"/>
    <mergeCell ref="B12:I12"/>
    <mergeCell ref="A13:C16"/>
    <mergeCell ref="F16:G16"/>
    <mergeCell ref="B7:I7"/>
    <mergeCell ref="B8:I8"/>
    <mergeCell ref="B9:I9"/>
    <mergeCell ref="G15:H15"/>
    <mergeCell ref="B11:I11"/>
  </mergeCells>
  <printOptions horizontalCentered="1"/>
  <pageMargins left="0.59055118110236227" right="0.59055118110236227" top="0.6692913385826772" bottom="0.39370078740157483" header="0.31496062992125984" footer="0.27559055118110237"/>
  <pageSetup paperSize="9" scale="90" orientation="portrait" r:id="rId1"/>
  <headerFooter alignWithMargins="0">
    <oddFooter>&amp;R&amp;"Arial,Dőlt"&amp;8&amp;F/&amp;A/PP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Díjak és etapok</vt:lpstr>
      <vt:lpstr>Tantárgyi törzsadatok</vt:lpstr>
      <vt:lpstr>1. etap MF-M</vt:lpstr>
      <vt:lpstr>2. etap MF-M</vt:lpstr>
      <vt:lpstr>Kísérőjegyzék MF M </vt:lpstr>
      <vt:lpstr>Útmutató-órajelentés</vt:lpstr>
      <vt:lpstr>vizsgajelentés</vt:lpstr>
      <vt:lpstr>Útmutató-vizsgajelentés</vt:lpstr>
      <vt:lpstr>'Tantárgyi törzsadatok'!Nyomtatási_terület</vt:lpstr>
    </vt:vector>
  </TitlesOfParts>
  <Company>PTEÁOK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peter.porvay</dc:creator>
  <cp:lastModifiedBy>Porvay Péter</cp:lastModifiedBy>
  <cp:lastPrinted>2025-02-12T10:51:31Z</cp:lastPrinted>
  <dcterms:created xsi:type="dcterms:W3CDTF">2009-02-12T08:26:26Z</dcterms:created>
  <dcterms:modified xsi:type="dcterms:W3CDTF">2025-02-14T09:32:16Z</dcterms:modified>
</cp:coreProperties>
</file>